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autoCompressPictures="0"/>
  <bookViews>
    <workbookView xWindow="120" yWindow="240" windowWidth="25180" windowHeight="13240" activeTab="3"/>
  </bookViews>
  <sheets>
    <sheet name="Inicio" sheetId="1" r:id="rId1"/>
    <sheet name="Inputs" sheetId="4" r:id="rId2"/>
    <sheet name="Costos" sheetId="5" r:id="rId3"/>
    <sheet name="Beneficios" sheetId="6" r:id="rId4"/>
    <sheet name="Resultados" sheetId="7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4" l="1"/>
  <c r="F14" i="6"/>
  <c r="H14" i="6"/>
  <c r="I14" i="6"/>
  <c r="M59" i="7"/>
  <c r="F15" i="6"/>
  <c r="H15" i="6"/>
  <c r="I15" i="6"/>
  <c r="M60" i="7"/>
  <c r="F16" i="6"/>
  <c r="H16" i="6"/>
  <c r="I16" i="6"/>
  <c r="M61" i="7"/>
  <c r="M19" i="4"/>
  <c r="F17" i="6"/>
  <c r="H17" i="6"/>
  <c r="I17" i="6"/>
  <c r="M62" i="7"/>
  <c r="F18" i="6"/>
  <c r="H18" i="6"/>
  <c r="I18" i="6"/>
  <c r="M63" i="7"/>
  <c r="F19" i="6"/>
  <c r="H19" i="6"/>
  <c r="I19" i="6"/>
  <c r="M64" i="7"/>
  <c r="M23" i="4"/>
  <c r="F20" i="6"/>
  <c r="H20" i="6"/>
  <c r="I20" i="6"/>
  <c r="M65" i="7"/>
  <c r="M25" i="4"/>
  <c r="F21" i="6"/>
  <c r="H21" i="6"/>
  <c r="I21" i="6"/>
  <c r="M66" i="7"/>
  <c r="M27" i="4"/>
  <c r="F22" i="6"/>
  <c r="H22" i="6"/>
  <c r="I22" i="6"/>
  <c r="M67" i="7"/>
  <c r="M29" i="4"/>
  <c r="F23" i="6"/>
  <c r="H23" i="6"/>
  <c r="I23" i="6"/>
  <c r="M68" i="7"/>
  <c r="M31" i="4"/>
  <c r="F24" i="6"/>
  <c r="H24" i="6"/>
  <c r="I24" i="6"/>
  <c r="M69" i="7"/>
  <c r="M33" i="4"/>
  <c r="F25" i="6"/>
  <c r="H25" i="6"/>
  <c r="I25" i="6"/>
  <c r="M70" i="7"/>
  <c r="M35" i="4"/>
  <c r="F26" i="6"/>
  <c r="H26" i="6"/>
  <c r="I26" i="6"/>
  <c r="M71" i="7"/>
  <c r="M37" i="4"/>
  <c r="F27" i="6"/>
  <c r="H27" i="6"/>
  <c r="I27" i="6"/>
  <c r="M72" i="7"/>
  <c r="M39" i="4"/>
  <c r="F28" i="6"/>
  <c r="H28" i="6"/>
  <c r="I28" i="6"/>
  <c r="M73" i="7"/>
  <c r="M41" i="4"/>
  <c r="F29" i="6"/>
  <c r="H29" i="6"/>
  <c r="I29" i="6"/>
  <c r="M74" i="7"/>
  <c r="M43" i="4"/>
  <c r="F30" i="6"/>
  <c r="H30" i="6"/>
  <c r="I30" i="6"/>
  <c r="M75" i="7"/>
  <c r="M45" i="4"/>
  <c r="F31" i="6"/>
  <c r="H31" i="6"/>
  <c r="I31" i="6"/>
  <c r="M76" i="7"/>
  <c r="M47" i="4"/>
  <c r="F32" i="6"/>
  <c r="H32" i="6"/>
  <c r="I32" i="6"/>
  <c r="M77" i="7"/>
  <c r="M49" i="4"/>
  <c r="F33" i="6"/>
  <c r="H33" i="6"/>
  <c r="I33" i="6"/>
  <c r="M78" i="7"/>
  <c r="M51" i="4"/>
  <c r="F34" i="6"/>
  <c r="H34" i="6"/>
  <c r="I34" i="6"/>
  <c r="M79" i="7"/>
  <c r="M53" i="4"/>
  <c r="F35" i="6"/>
  <c r="H35" i="6"/>
  <c r="I35" i="6"/>
  <c r="M80" i="7"/>
  <c r="M55" i="4"/>
  <c r="F36" i="6"/>
  <c r="H36" i="6"/>
  <c r="I36" i="6"/>
  <c r="M81" i="7"/>
  <c r="M57" i="4"/>
  <c r="F37" i="6"/>
  <c r="H37" i="6"/>
  <c r="I37" i="6"/>
  <c r="M82" i="7"/>
  <c r="M59" i="4"/>
  <c r="F38" i="6"/>
  <c r="H38" i="6"/>
  <c r="I38" i="6"/>
  <c r="M83" i="7"/>
  <c r="M61" i="4"/>
  <c r="F39" i="6"/>
  <c r="H39" i="6"/>
  <c r="I39" i="6"/>
  <c r="M84" i="7"/>
  <c r="M63" i="4"/>
  <c r="F40" i="6"/>
  <c r="H40" i="6"/>
  <c r="I40" i="6"/>
  <c r="M85" i="7"/>
  <c r="M65" i="4"/>
  <c r="F41" i="6"/>
  <c r="H41" i="6"/>
  <c r="I41" i="6"/>
  <c r="M86" i="7"/>
  <c r="M67" i="4"/>
  <c r="F42" i="6"/>
  <c r="H42" i="6"/>
  <c r="I42" i="6"/>
  <c r="M87" i="7"/>
  <c r="M69" i="4"/>
  <c r="F43" i="6"/>
  <c r="H43" i="6"/>
  <c r="I43" i="6"/>
  <c r="M88" i="7"/>
  <c r="F44" i="6"/>
  <c r="H44" i="6"/>
  <c r="I44" i="6"/>
  <c r="M8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59" i="7"/>
  <c r="K89" i="7"/>
  <c r="E44" i="6"/>
  <c r="G44" i="6"/>
  <c r="J89" i="7"/>
  <c r="E43" i="6"/>
  <c r="G43" i="6"/>
  <c r="J88" i="7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5" i="6"/>
  <c r="F45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5" i="6"/>
  <c r="H45" i="6"/>
  <c r="I45" i="6"/>
  <c r="F51" i="5"/>
  <c r="G51" i="5"/>
  <c r="F52" i="5"/>
  <c r="G52" i="5"/>
  <c r="F53" i="5"/>
  <c r="G53" i="5"/>
  <c r="G54" i="5"/>
  <c r="F29" i="4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M13" i="5"/>
  <c r="M14" i="5"/>
  <c r="M15" i="5"/>
  <c r="M16" i="5"/>
  <c r="M17" i="5"/>
  <c r="M18" i="5"/>
  <c r="M19" i="5"/>
  <c r="M20" i="5"/>
  <c r="M21" i="5"/>
  <c r="M22" i="5"/>
  <c r="F33" i="4"/>
  <c r="M29" i="5"/>
  <c r="M30" i="5"/>
  <c r="M31" i="5"/>
  <c r="M32" i="5"/>
  <c r="F35" i="4"/>
  <c r="F31" i="4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G25" i="5"/>
  <c r="F19" i="4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F41" i="5"/>
  <c r="G41" i="5"/>
  <c r="F42" i="5"/>
  <c r="G42" i="5"/>
  <c r="F43" i="5"/>
  <c r="G43" i="5"/>
  <c r="F44" i="5"/>
  <c r="G44" i="5"/>
  <c r="G45" i="5"/>
  <c r="F21" i="4"/>
  <c r="F17" i="4"/>
  <c r="L14" i="6"/>
  <c r="L45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F25" i="4"/>
  <c r="F27" i="4"/>
  <c r="F23" i="4"/>
  <c r="K66" i="7"/>
  <c r="K68" i="7"/>
  <c r="K70" i="7"/>
  <c r="K72" i="7"/>
  <c r="K74" i="7"/>
  <c r="K76" i="7"/>
  <c r="K78" i="7"/>
  <c r="K80" i="7"/>
  <c r="K82" i="7"/>
  <c r="K84" i="7"/>
  <c r="K86" i="7"/>
  <c r="K88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5" i="7"/>
  <c r="J66" i="7"/>
  <c r="J62" i="7"/>
  <c r="E24" i="5"/>
  <c r="D24" i="5"/>
  <c r="M21" i="4"/>
  <c r="M27" i="5"/>
  <c r="F45" i="5"/>
  <c r="F54" i="5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F59" i="7"/>
  <c r="F90" i="7"/>
  <c r="Q59" i="7"/>
  <c r="Q88" i="7"/>
  <c r="Q86" i="7"/>
  <c r="Q84" i="7"/>
  <c r="Q82" i="7"/>
  <c r="Q80" i="7"/>
  <c r="Q78" i="7"/>
  <c r="Q76" i="7"/>
  <c r="Q74" i="7"/>
  <c r="Q72" i="7"/>
  <c r="Q70" i="7"/>
  <c r="Q66" i="7"/>
  <c r="Q64" i="7"/>
  <c r="Q62" i="7"/>
  <c r="Q60" i="7"/>
  <c r="Q67" i="7"/>
  <c r="Q89" i="7"/>
  <c r="Q87" i="7"/>
  <c r="Q85" i="7"/>
  <c r="Q83" i="7"/>
  <c r="Q81" i="7"/>
  <c r="Q79" i="7"/>
  <c r="Q77" i="7"/>
  <c r="Q75" i="7"/>
  <c r="Q73" i="7"/>
  <c r="Q71" i="7"/>
  <c r="Q69" i="7"/>
  <c r="Q65" i="7"/>
  <c r="Q63" i="7"/>
  <c r="Q61" i="7"/>
  <c r="Q68" i="7"/>
  <c r="J87" i="7"/>
  <c r="J64" i="7"/>
  <c r="K61" i="7"/>
  <c r="K87" i="7"/>
  <c r="K85" i="7"/>
  <c r="K83" i="7"/>
  <c r="K81" i="7"/>
  <c r="K79" i="7"/>
  <c r="J63" i="7"/>
  <c r="K77" i="7"/>
  <c r="K75" i="7"/>
  <c r="K73" i="7"/>
  <c r="K71" i="7"/>
  <c r="K69" i="7"/>
  <c r="K67" i="7"/>
  <c r="K65" i="7"/>
  <c r="I62" i="7"/>
  <c r="Q90" i="7"/>
  <c r="K62" i="7"/>
  <c r="K60" i="7"/>
  <c r="J59" i="7"/>
  <c r="K59" i="7"/>
  <c r="J61" i="7"/>
  <c r="J60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J90" i="7"/>
  <c r="I90" i="7"/>
  <c r="K64" i="7"/>
  <c r="K63" i="7"/>
  <c r="K90" i="7"/>
  <c r="E54" i="5"/>
  <c r="H60" i="7"/>
  <c r="E45" i="5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L89" i="7"/>
  <c r="P89" i="7"/>
  <c r="R89" i="7"/>
  <c r="L60" i="7"/>
  <c r="P60" i="7"/>
  <c r="R60" i="7"/>
  <c r="G59" i="7"/>
  <c r="G90" i="7"/>
  <c r="G47" i="5"/>
  <c r="L61" i="7"/>
  <c r="P61" i="7"/>
  <c r="R61" i="7"/>
  <c r="H90" i="7"/>
  <c r="L59" i="7"/>
  <c r="P59" i="7"/>
  <c r="L62" i="7"/>
  <c r="P62" i="7"/>
  <c r="R62" i="7"/>
  <c r="R59" i="7"/>
  <c r="L63" i="7"/>
  <c r="P63" i="7"/>
  <c r="R63" i="7"/>
  <c r="S59" i="7"/>
  <c r="S60" i="7"/>
  <c r="S61" i="7"/>
  <c r="S62" i="7"/>
  <c r="S63" i="7"/>
  <c r="L64" i="7"/>
  <c r="P64" i="7"/>
  <c r="R64" i="7"/>
  <c r="S64" i="7"/>
  <c r="L65" i="7"/>
  <c r="P65" i="7"/>
  <c r="R65" i="7"/>
  <c r="L66" i="7"/>
  <c r="P66" i="7"/>
  <c r="R66" i="7"/>
  <c r="S65" i="7"/>
  <c r="S66" i="7"/>
  <c r="L67" i="7"/>
  <c r="P67" i="7"/>
  <c r="R67" i="7"/>
  <c r="S67" i="7"/>
  <c r="L68" i="7"/>
  <c r="P68" i="7"/>
  <c r="R68" i="7"/>
  <c r="S68" i="7"/>
  <c r="L69" i="7"/>
  <c r="P69" i="7"/>
  <c r="R69" i="7"/>
  <c r="S69" i="7"/>
  <c r="L70" i="7"/>
  <c r="P70" i="7"/>
  <c r="R70" i="7"/>
  <c r="S70" i="7"/>
  <c r="L71" i="7"/>
  <c r="P71" i="7"/>
  <c r="R71" i="7"/>
  <c r="S71" i="7"/>
  <c r="L72" i="7"/>
  <c r="P72" i="7"/>
  <c r="R72" i="7"/>
  <c r="S72" i="7"/>
  <c r="L73" i="7"/>
  <c r="P73" i="7"/>
  <c r="R73" i="7"/>
  <c r="S73" i="7"/>
  <c r="L74" i="7"/>
  <c r="P74" i="7"/>
  <c r="R74" i="7"/>
  <c r="S74" i="7"/>
  <c r="L75" i="7"/>
  <c r="P75" i="7"/>
  <c r="R75" i="7"/>
  <c r="S75" i="7"/>
  <c r="L76" i="7"/>
  <c r="P76" i="7"/>
  <c r="R76" i="7"/>
  <c r="S76" i="7"/>
  <c r="L77" i="7"/>
  <c r="P77" i="7"/>
  <c r="R77" i="7"/>
  <c r="S77" i="7"/>
  <c r="L78" i="7"/>
  <c r="P78" i="7"/>
  <c r="R78" i="7"/>
  <c r="S78" i="7"/>
  <c r="L79" i="7"/>
  <c r="P79" i="7"/>
  <c r="R79" i="7"/>
  <c r="S79" i="7"/>
  <c r="L80" i="7"/>
  <c r="P80" i="7"/>
  <c r="R80" i="7"/>
  <c r="S80" i="7"/>
  <c r="L81" i="7"/>
  <c r="P81" i="7"/>
  <c r="R81" i="7"/>
  <c r="S81" i="7"/>
  <c r="L82" i="7"/>
  <c r="P82" i="7"/>
  <c r="R82" i="7"/>
  <c r="S82" i="7"/>
  <c r="L83" i="7"/>
  <c r="P83" i="7"/>
  <c r="R83" i="7"/>
  <c r="S83" i="7"/>
  <c r="L84" i="7"/>
  <c r="P84" i="7"/>
  <c r="R84" i="7"/>
  <c r="S84" i="7"/>
  <c r="L85" i="7"/>
  <c r="P85" i="7"/>
  <c r="R85" i="7"/>
  <c r="S85" i="7"/>
  <c r="L86" i="7"/>
  <c r="P86" i="7"/>
  <c r="R86" i="7"/>
  <c r="S86" i="7"/>
  <c r="L87" i="7"/>
  <c r="P87" i="7"/>
  <c r="R87" i="7"/>
  <c r="S87" i="7"/>
  <c r="L88" i="7"/>
  <c r="L90" i="7"/>
  <c r="P88" i="7"/>
  <c r="H16" i="7"/>
  <c r="M90" i="7"/>
  <c r="H12" i="7"/>
  <c r="R88" i="7"/>
  <c r="H14" i="7"/>
  <c r="P90" i="7"/>
  <c r="R90" i="7"/>
  <c r="S88" i="7"/>
  <c r="S89" i="7"/>
  <c r="M35" i="5"/>
</calcChain>
</file>

<file path=xl/sharedStrings.xml><?xml version="1.0" encoding="utf-8"?>
<sst xmlns="http://schemas.openxmlformats.org/spreadsheetml/2006/main" count="205" uniqueCount="161">
  <si>
    <t>Insumos</t>
  </si>
  <si>
    <t>Costos Unitarios</t>
  </si>
  <si>
    <t>Cantidad</t>
  </si>
  <si>
    <t>Costo Total</t>
  </si>
  <si>
    <t>Carretas de Mano</t>
  </si>
  <si>
    <t>Rastrillos 12 Dientes</t>
  </si>
  <si>
    <t>Palas Cuadradas</t>
  </si>
  <si>
    <t>Machetes</t>
  </si>
  <si>
    <t>Azadones sin Cabo</t>
  </si>
  <si>
    <t>Regaderas</t>
  </si>
  <si>
    <t>Bolsas de Vivero Millar</t>
  </si>
  <si>
    <t xml:space="preserve">Malla Sombra </t>
  </si>
  <si>
    <t xml:space="preserve">Semillas </t>
  </si>
  <si>
    <t>Rollos de malla para cercar</t>
  </si>
  <si>
    <t>Postes</t>
  </si>
  <si>
    <t xml:space="preserve">Costo total de reforestar 1 ha. </t>
  </si>
  <si>
    <t>Costo de secar semilla (al año)</t>
  </si>
  <si>
    <t>Fuente</t>
  </si>
  <si>
    <t>Total</t>
  </si>
  <si>
    <t xml:space="preserve">Costo total de insumos </t>
  </si>
  <si>
    <t>Jornales</t>
  </si>
  <si>
    <t>Actividad</t>
  </si>
  <si>
    <t>Costo por jornal</t>
  </si>
  <si>
    <t>Limpieza, preparación del terreno</t>
  </si>
  <si>
    <t>Trazo del vivero</t>
  </si>
  <si>
    <t>Acarreo de materiales</t>
  </si>
  <si>
    <t>Mezcla de materiales</t>
  </si>
  <si>
    <t>Desinfección</t>
  </si>
  <si>
    <t>Siembra semilleros</t>
  </si>
  <si>
    <t>Transplante</t>
  </si>
  <si>
    <t>Llenado y colocación de bolsas</t>
  </si>
  <si>
    <t>Riego</t>
  </si>
  <si>
    <t>Deshierbe o limpias</t>
  </si>
  <si>
    <t>Cuidado fitosanitario</t>
  </si>
  <si>
    <t>Fertilización</t>
  </si>
  <si>
    <t>Control de crecimiento</t>
  </si>
  <si>
    <t>Clasificación y carga</t>
  </si>
  <si>
    <t>Administración</t>
  </si>
  <si>
    <t>Asistencia técnica y capacitación</t>
  </si>
  <si>
    <t>Costo total de insumos para la reforestación de 1 Ha (año 1)</t>
  </si>
  <si>
    <t>Costos total de mano de obra</t>
  </si>
  <si>
    <t>COSTOS DE LA INVERSIÓN INICIAL (AÑO 1) EN INSUMOS Y MANO DE OBRA PARA REFORESTAR UNA HECTÁREA CON BROSIMUM CON FINES DE PRODUCCIÓN DE SEMILLA SECA (POR HECTÁREA)</t>
  </si>
  <si>
    <t>COSTOS DE LA INVERSIÓN EN INSUMOS Y MANO DE OBRA PARA SECAR SEMILLA (1 AÑO)</t>
  </si>
  <si>
    <t>Costo de mano de obra para reforestar y dar mantenimiento a 1 Ha (año 1)</t>
  </si>
  <si>
    <t xml:space="preserve">Costo total de mantenimiento a 1 Ha (año posterior al año 1). </t>
  </si>
  <si>
    <t>Costos de mantenimiento</t>
  </si>
  <si>
    <t>Costo de secar semilla</t>
  </si>
  <si>
    <t>Inversión inicial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</si>
  <si>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</si>
  <si>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</si>
  <si>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</si>
  <si>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</si>
  <si>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</si>
  <si>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</si>
  <si>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</si>
  <si>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</si>
  <si>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</si>
  <si>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</si>
  <si>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</si>
  <si>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</si>
  <si>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</si>
  <si>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</si>
  <si>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20 años</t>
  </si>
  <si>
    <t>21 años</t>
  </si>
  <si>
    <t>22 años</t>
  </si>
  <si>
    <t>23 años</t>
  </si>
  <si>
    <t>24 años</t>
  </si>
  <si>
    <t>25 años</t>
  </si>
  <si>
    <t>26 años</t>
  </si>
  <si>
    <t>27 años</t>
  </si>
  <si>
    <t>28 años</t>
  </si>
  <si>
    <t>29 años</t>
  </si>
  <si>
    <t>Semilla verde (Lb) /</t>
  </si>
  <si>
    <t xml:space="preserve"> Árbol al año </t>
  </si>
  <si>
    <t xml:space="preserve">Total de Lb / </t>
  </si>
  <si>
    <t>INGRESOS NETOS /</t>
  </si>
  <si>
    <t>Ha</t>
  </si>
  <si>
    <t>Semilla seca (Lb) /</t>
  </si>
  <si>
    <t>Edad del Árbol</t>
  </si>
  <si>
    <t>Ha de semilla seca</t>
  </si>
  <si>
    <t>Mano de obra</t>
  </si>
  <si>
    <t>Costos</t>
  </si>
  <si>
    <t>Reforestación (insumos + mano de obra)</t>
  </si>
  <si>
    <t>Producción de semilla seca (insumos + mano de obra)</t>
  </si>
  <si>
    <t>Rendimientos (Lb de semilla verde/ árbol) por edad del árbol</t>
  </si>
  <si>
    <t xml:space="preserve"> </t>
  </si>
  <si>
    <t>0 - 3 años</t>
  </si>
  <si>
    <t>4 - 5 años</t>
  </si>
  <si>
    <t>30 - 50 años</t>
  </si>
  <si>
    <t>Edad del árbol</t>
  </si>
  <si>
    <t>Opinión de expertos</t>
  </si>
  <si>
    <t>Brosimum alicastrum Sw. subsp. alicastrum C.C. Berg (1972). Publicado en: Flora Neotropica. Monograph 7: 170-171. 1972. Dra Rocio Ruenes</t>
  </si>
  <si>
    <t>Pardo T.E. y M. Sánchez 1980, Brosimum alicastrum (ramón, capomo, ojite y jooche) recurso silvestre trropical desaprovechado. Instituto Nacional de Investigaciones sobre recursos Bioticos. Jalapa, veracruz, México.</t>
  </si>
  <si>
    <t>Brosimum alicastrum Sw. subsp. alicastrum C.C. Berg (1972). Publicado en: Flora Neotropica. Monograph 7: 170-171. 1972.</t>
  </si>
  <si>
    <t xml:space="preserve"> Pardo-Tejeda, E. y Sanchez Muñoz, C. (1977). Brosimum alicastrum (ramón, capomo, ojite, ojoche). Recurso silvestre tropical desaprovechado. 35 pp. Instituto de Investigaciones sobre Recursos Bióticos A.C., Xalapa, México.</t>
  </si>
  <si>
    <t>Análisis Costo-Beneficio</t>
  </si>
  <si>
    <t>Parámetro</t>
  </si>
  <si>
    <t>Valor</t>
  </si>
  <si>
    <t>EVALUACIÓN ECONÓMICA</t>
  </si>
  <si>
    <t>Tasa de descuento</t>
  </si>
  <si>
    <t>Año base</t>
  </si>
  <si>
    <t>Horas en un jornal</t>
  </si>
  <si>
    <t>Precio de jornal</t>
  </si>
  <si>
    <t>Densidad de árboles por Ha</t>
  </si>
  <si>
    <t>Por concenso</t>
  </si>
  <si>
    <t>ESTIMACIÓN DE COSTOS</t>
  </si>
  <si>
    <t>ESTIMACIÓN DE BENEFICIOS</t>
  </si>
  <si>
    <t>Certificacion y manejo forestal del bosque</t>
  </si>
  <si>
    <t xml:space="preserve">Secretaria del Trabajo y Previsión Social </t>
  </si>
  <si>
    <t>Por consenso</t>
  </si>
  <si>
    <t>Costo de la Mano de obra</t>
  </si>
  <si>
    <t>Beneficios</t>
  </si>
  <si>
    <t>Costo del mantenimiento</t>
  </si>
  <si>
    <t>Costo del secado de semilla</t>
  </si>
  <si>
    <t>Mantenimiento (después del año 1)</t>
  </si>
  <si>
    <t>Valor en el mercado, Semilla Verde</t>
  </si>
  <si>
    <t>Valor en el mercado, Semilla Seca</t>
  </si>
  <si>
    <t>Zaranda de Malla</t>
  </si>
  <si>
    <t>baldes plasticas</t>
  </si>
  <si>
    <t>palanganas grandes</t>
  </si>
  <si>
    <t>costales</t>
  </si>
  <si>
    <t>mesa de madera o metal</t>
  </si>
  <si>
    <t>bodega</t>
  </si>
  <si>
    <t>plastico/lona</t>
  </si>
  <si>
    <t>secadoras solares</t>
  </si>
  <si>
    <t>Costo Total de los Insumos</t>
  </si>
  <si>
    <t>mano de obra seleccionar semilla</t>
  </si>
  <si>
    <t>mano de obra secar semilla</t>
  </si>
  <si>
    <t>mano de obra empacar</t>
  </si>
  <si>
    <t>bolsas plasticas</t>
  </si>
  <si>
    <t>Costo Total Mano de Obra</t>
  </si>
  <si>
    <t xml:space="preserve">mano de obra </t>
  </si>
  <si>
    <t>Costo unitario</t>
  </si>
  <si>
    <t>Costo total de secar semilla</t>
  </si>
  <si>
    <t xml:space="preserve">Costos total del mantenimiento </t>
  </si>
  <si>
    <t>Semilla Verde</t>
  </si>
  <si>
    <t>Semilla Seca</t>
  </si>
  <si>
    <t>Rendimientos</t>
  </si>
  <si>
    <t>TMNI</t>
  </si>
  <si>
    <t>Ha de semilla verde</t>
  </si>
  <si>
    <t>Ingresos brutos por semilla seca</t>
  </si>
  <si>
    <t>Producción de semilla verde (insumos + mano de obra) en 1 año</t>
  </si>
  <si>
    <t>Flujos Descontados para la producción de semilla seca</t>
  </si>
  <si>
    <t>Flujos No Descontados para la producción de semilla seca</t>
  </si>
  <si>
    <t>Beneficios Netos</t>
  </si>
  <si>
    <t>Flujo de caja neto</t>
  </si>
  <si>
    <t xml:space="preserve">Factor de descuento </t>
  </si>
  <si>
    <t>Índice anual</t>
  </si>
  <si>
    <t>Beneficios Acumulados</t>
  </si>
  <si>
    <t>Resultados</t>
  </si>
  <si>
    <t>RELACIÓN B/C</t>
  </si>
  <si>
    <t>Valor Presente netos</t>
  </si>
  <si>
    <t>Tasa Interna de Retorno</t>
  </si>
  <si>
    <t xml:space="preserve">Relación Beneficio / Costo </t>
  </si>
  <si>
    <r>
      <t xml:space="preserve">Retorno de la inversión de reforestar y producir una Ha con </t>
    </r>
    <r>
      <rPr>
        <b/>
        <i/>
        <sz val="10"/>
        <color theme="0"/>
        <rFont val="Calibri"/>
        <family val="2"/>
        <scheme val="minor"/>
      </rPr>
      <t>Brosimum Alicastrum</t>
    </r>
    <r>
      <rPr>
        <b/>
        <sz val="10"/>
        <color theme="0"/>
        <rFont val="Calibri"/>
        <family val="2"/>
        <scheme val="minor"/>
      </rPr>
      <t xml:space="preserve"> en un horizonte temporal de 30 años
</t>
    </r>
  </si>
  <si>
    <t xml:space="preserve">Análisis Costo - Beneficio </t>
  </si>
  <si>
    <t>PARÁMETROS UTILIZADOS EN LA EVALACIÓN ECONÓMICA (ANÁLISIS COSTO-BENEFICIO) DE REFORESTAR PRODUCIR SEMILLA VERDE O SECA, FORRAJE Y  PRODUCTOS CON BROSIMUM ALICASTRUM</t>
  </si>
  <si>
    <t>Para reforestación, semilla verde, semilla seca, producción de Brosimum molido</t>
  </si>
  <si>
    <t>Producción de Brosimum molido (insumos + mano de obra)</t>
  </si>
  <si>
    <t>Valor en el mercado, Brosimum molido (Lb)</t>
  </si>
  <si>
    <t>INGRESOS/HA DE PRODUCIR SEMILLA CON BROSIMUM, DENSIDAD 1100 ARBOLES/HA.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</si>
</sst>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;[Red]\-&quot;$&quot;#,##0.00"/>
    <numFmt numFmtId="165" formatCode="_-* #,##0.00_-;\-* #,##0.00_-;_-* &quot;-&quot;??_-;_-@_-"/>
    <numFmt numFmtId="166" formatCode="&quot;$&quot;#,##0.00"/>
    <numFmt numFmtId="167" formatCode="0.0%"/>
    <numFmt numFmtId="168" formatCode="_-* #,##0.0000_-;\-* #,##0.0000_-;_-* &quot;-&quot;??_-;_-@_-"/>
  </numFmts>
  <fonts count="16" x14ac:knownFonts="1">
    <font>
      <sz val="9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Tahoma"/>
      <family val="2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 indent="1"/>
    </xf>
    <xf numFmtId="164" fontId="4" fillId="2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6" fillId="5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 indent="3"/>
    </xf>
    <xf numFmtId="0" fontId="6" fillId="0" borderId="0" xfId="0" applyFont="1" applyBorder="1" applyAlignment="1">
      <alignment horizontal="left" indent="2"/>
    </xf>
    <xf numFmtId="166" fontId="8" fillId="5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indent="3"/>
    </xf>
    <xf numFmtId="4" fontId="8" fillId="5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4" fontId="8" fillId="5" borderId="0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5" fillId="0" borderId="1" xfId="0" applyFont="1" applyBorder="1" applyAlignment="1">
      <alignment horizontal="left" indent="2"/>
    </xf>
    <xf numFmtId="0" fontId="0" fillId="0" borderId="0" xfId="0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indent="3"/>
    </xf>
    <xf numFmtId="0" fontId="6" fillId="0" borderId="1" xfId="0" applyFont="1" applyBorder="1" applyAlignment="1">
      <alignment horizontal="left" indent="3"/>
    </xf>
    <xf numFmtId="0" fontId="7" fillId="0" borderId="11" xfId="0" applyFont="1" applyBorder="1" applyAlignment="1">
      <alignment horizontal="left" indent="2"/>
    </xf>
    <xf numFmtId="0" fontId="0" fillId="0" borderId="12" xfId="0" applyBorder="1"/>
    <xf numFmtId="0" fontId="2" fillId="0" borderId="12" xfId="0" applyFont="1" applyBorder="1" applyAlignment="1">
      <alignment horizontal="center" vertical="center"/>
    </xf>
    <xf numFmtId="0" fontId="0" fillId="0" borderId="13" xfId="0" applyBorder="1"/>
    <xf numFmtId="16" fontId="6" fillId="0" borderId="1" xfId="0" applyNumberFormat="1" applyFont="1" applyBorder="1" applyAlignment="1">
      <alignment horizontal="left" indent="3"/>
    </xf>
    <xf numFmtId="0" fontId="7" fillId="0" borderId="11" xfId="0" applyFont="1" applyBorder="1" applyAlignment="1">
      <alignment horizontal="left" indent="3"/>
    </xf>
    <xf numFmtId="0" fontId="9" fillId="3" borderId="7" xfId="0" applyFont="1" applyFill="1" applyBorder="1" applyAlignment="1">
      <alignment horizontal="left" indent="1"/>
    </xf>
    <xf numFmtId="0" fontId="10" fillId="3" borderId="8" xfId="0" applyFont="1" applyFill="1" applyBorder="1" applyAlignment="1">
      <alignment horizontal="left" inden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 vertical="top" indent="1"/>
    </xf>
    <xf numFmtId="0" fontId="11" fillId="3" borderId="15" xfId="0" applyFont="1" applyFill="1" applyBorder="1" applyAlignment="1">
      <alignment horizontal="left" indent="1"/>
    </xf>
    <xf numFmtId="0" fontId="10" fillId="3" borderId="3" xfId="0" applyFont="1" applyFill="1" applyBorder="1"/>
    <xf numFmtId="0" fontId="0" fillId="0" borderId="3" xfId="0" applyBorder="1"/>
    <xf numFmtId="0" fontId="9" fillId="3" borderId="14" xfId="0" applyFont="1" applyFill="1" applyBorder="1" applyAlignment="1">
      <alignment horizontal="left" indent="1"/>
    </xf>
    <xf numFmtId="0" fontId="10" fillId="3" borderId="15" xfId="0" applyFont="1" applyFill="1" applyBorder="1" applyAlignment="1">
      <alignment horizontal="left" indent="1"/>
    </xf>
    <xf numFmtId="167" fontId="8" fillId="5" borderId="2" xfId="2" applyNumberFormat="1" applyFont="1" applyFill="1" applyBorder="1" applyAlignment="1">
      <alignment horizontal="center" vertical="center"/>
    </xf>
    <xf numFmtId="4" fontId="8" fillId="5" borderId="0" xfId="0" applyNumberFormat="1" applyFont="1" applyFill="1" applyBorder="1" applyAlignment="1">
      <alignment horizontal="left" vertical="center" wrapText="1"/>
    </xf>
    <xf numFmtId="0" fontId="8" fillId="5" borderId="2" xfId="0" applyNumberFormat="1" applyFont="1" applyFill="1" applyBorder="1" applyAlignment="1">
      <alignment horizontal="center" vertical="center"/>
    </xf>
    <xf numFmtId="0" fontId="0" fillId="0" borderId="8" xfId="0" applyBorder="1"/>
    <xf numFmtId="0" fontId="6" fillId="0" borderId="8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166" fontId="8" fillId="5" borderId="2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6" fillId="0" borderId="7" xfId="0" applyFont="1" applyBorder="1" applyAlignment="1">
      <alignment horizontal="left" indent="2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6" fontId="4" fillId="0" borderId="0" xfId="0" applyNumberFormat="1" applyFont="1" applyBorder="1" applyAlignment="1">
      <alignment horizontal="right" vertical="center"/>
    </xf>
    <xf numFmtId="166" fontId="12" fillId="3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indent="2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0" fontId="13" fillId="0" borderId="15" xfId="0" applyFont="1" applyBorder="1" applyAlignment="1">
      <alignment horizontal="left" vertical="center"/>
    </xf>
    <xf numFmtId="166" fontId="14" fillId="5" borderId="15" xfId="0" applyNumberFormat="1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right" vertical="center"/>
    </xf>
    <xf numFmtId="168" fontId="4" fillId="0" borderId="6" xfId="1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6" fillId="0" borderId="14" xfId="0" applyFont="1" applyBorder="1" applyAlignment="1">
      <alignment horizontal="left" indent="1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4" fontId="8" fillId="5" borderId="4" xfId="0" applyNumberFormat="1" applyFont="1" applyFill="1" applyBorder="1" applyAlignment="1">
      <alignment horizontal="center" vertical="center" wrapText="1"/>
    </xf>
    <xf numFmtId="4" fontId="8" fillId="5" borderId="5" xfId="0" applyNumberFormat="1" applyFont="1" applyFill="1" applyBorder="1" applyAlignment="1">
      <alignment horizontal="center" vertical="center" wrapText="1"/>
    </xf>
    <xf numFmtId="4" fontId="8" fillId="5" borderId="6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justify" wrapText="1"/>
    </xf>
    <xf numFmtId="0" fontId="9" fillId="3" borderId="8" xfId="0" applyFont="1" applyFill="1" applyBorder="1" applyAlignment="1">
      <alignment horizontal="center" vertical="justify"/>
    </xf>
    <xf numFmtId="0" fontId="9" fillId="3" borderId="11" xfId="0" applyFont="1" applyFill="1" applyBorder="1" applyAlignment="1">
      <alignment horizontal="center" vertical="justify"/>
    </xf>
    <xf numFmtId="0" fontId="9" fillId="3" borderId="12" xfId="0" applyFont="1" applyFill="1" applyBorder="1" applyAlignment="1">
      <alignment horizontal="center" vertical="justify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Resultados!$S$59:$S$89</c:f>
              <c:numCache>
                <c:formatCode>"$"#,##0.00</c:formatCode>
                <c:ptCount val="31"/>
                <c:pt idx="0">
                  <c:v>-19200.0</c:v>
                </c:pt>
                <c:pt idx="1">
                  <c:v>-22054.42435775452</c:v>
                </c:pt>
                <c:pt idx="2">
                  <c:v>-24770.33716246862</c:v>
                </c:pt>
                <c:pt idx="3">
                  <c:v>-31436.89959711643</c:v>
                </c:pt>
                <c:pt idx="4">
                  <c:v>-37779.9656624331</c:v>
                </c:pt>
                <c:pt idx="5">
                  <c:v>-43815.2330889951</c:v>
                </c:pt>
                <c:pt idx="6">
                  <c:v>-42807.97784312072</c:v>
                </c:pt>
                <c:pt idx="7">
                  <c:v>-38424.98086906822</c:v>
                </c:pt>
                <c:pt idx="8">
                  <c:v>-31812.68797323246</c:v>
                </c:pt>
                <c:pt idx="9">
                  <c:v>-23971.09690475344</c:v>
                </c:pt>
                <c:pt idx="10">
                  <c:v>-15774.2233874337</c:v>
                </c:pt>
                <c:pt idx="11">
                  <c:v>-7271.830062183715</c:v>
                </c:pt>
                <c:pt idx="12">
                  <c:v>2153.251561440135</c:v>
                </c:pt>
                <c:pt idx="13">
                  <c:v>11754.77591045622</c:v>
                </c:pt>
                <c:pt idx="14">
                  <c:v>21496.16703568005</c:v>
                </c:pt>
                <c:pt idx="15">
                  <c:v>31338.63404551213</c:v>
                </c:pt>
                <c:pt idx="16">
                  <c:v>41251.91099174804</c:v>
                </c:pt>
                <c:pt idx="17">
                  <c:v>52244.83882721524</c:v>
                </c:pt>
                <c:pt idx="18">
                  <c:v>64685.77914780645</c:v>
                </c:pt>
                <c:pt idx="19">
                  <c:v>79350.96498337299</c:v>
                </c:pt>
                <c:pt idx="20">
                  <c:v>94199.3917962025</c:v>
                </c:pt>
                <c:pt idx="21">
                  <c:v>110034.0625221551</c:v>
                </c:pt>
                <c:pt idx="22">
                  <c:v>126724.2982300015</c:v>
                </c:pt>
                <c:pt idx="23">
                  <c:v>143377.2084033977</c:v>
                </c:pt>
                <c:pt idx="24">
                  <c:v>161058.9054134895</c:v>
                </c:pt>
                <c:pt idx="25">
                  <c:v>179631.9184789692</c:v>
                </c:pt>
                <c:pt idx="26">
                  <c:v>198301.12761587</c:v>
                </c:pt>
                <c:pt idx="27">
                  <c:v>216697.5904873201</c:v>
                </c:pt>
                <c:pt idx="28">
                  <c:v>235706.8176430582</c:v>
                </c:pt>
                <c:pt idx="29">
                  <c:v>255227.3217841274</c:v>
                </c:pt>
                <c:pt idx="30">
                  <c:v>273800.589282766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429240"/>
        <c:axId val="2079425912"/>
      </c:lineChart>
      <c:catAx>
        <c:axId val="2079429240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>
            <a:solidFill>
              <a:schemeClr val="accent3">
                <a:lumMod val="75000"/>
              </a:schemeClr>
            </a:solidFill>
          </a:ln>
        </c:spPr>
        <c:crossAx val="2079425912"/>
        <c:crosses val="autoZero"/>
        <c:auto val="1"/>
        <c:lblAlgn val="ctr"/>
        <c:lblOffset val="100"/>
        <c:noMultiLvlLbl val="0"/>
      </c:catAx>
      <c:valAx>
        <c:axId val="2079425912"/>
        <c:scaling>
          <c:orientation val="minMax"/>
        </c:scaling>
        <c:delete val="0"/>
        <c:axPos val="l"/>
        <c:numFmt formatCode="&quot;$&quot;#,##0.00" sourceLinked="1"/>
        <c:majorTickMark val="out"/>
        <c:minorTickMark val="none"/>
        <c:tickLblPos val="nextTo"/>
        <c:spPr>
          <a:ln>
            <a:solidFill>
              <a:schemeClr val="accent3">
                <a:lumMod val="75000"/>
              </a:schemeClr>
            </a:solidFill>
          </a:ln>
        </c:spPr>
        <c:crossAx val="2079429240"/>
        <c:crosses val="autoZero"/>
        <c:crossBetween val="between"/>
      </c:valAx>
    </c:plotArea>
    <c:plotVisOnly val="1"/>
    <c:dispBlanksAs val="gap"/>
    <c:showDLblsOverMax val="0"/>
  </c:chart>
  <c:spPr>
    <a:ln w="22225">
      <a:solidFill>
        <a:schemeClr val="accent6">
          <a:lumMod val="75000"/>
        </a:schemeClr>
      </a:solidFill>
    </a:ln>
  </c:spPr>
  <c:txPr>
    <a:bodyPr/>
    <a:lstStyle/>
    <a:p>
      <a:pPr>
        <a:defRPr sz="700" b="1">
          <a:solidFill>
            <a:schemeClr val="accent3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puts!A1"/><Relationship Id="rId4" Type="http://schemas.openxmlformats.org/officeDocument/2006/relationships/hyperlink" Target="#Costos!A1"/><Relationship Id="rId5" Type="http://schemas.openxmlformats.org/officeDocument/2006/relationships/hyperlink" Target="#Beneficios!A1"/><Relationship Id="rId6" Type="http://schemas.openxmlformats.org/officeDocument/2006/relationships/hyperlink" Target="#Resultados!A1"/><Relationship Id="rId1" Type="http://schemas.openxmlformats.org/officeDocument/2006/relationships/image" Target="../media/image1.png"/><Relationship Id="rId2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puts!A1"/><Relationship Id="rId4" Type="http://schemas.openxmlformats.org/officeDocument/2006/relationships/hyperlink" Target="#Costos!A1"/><Relationship Id="rId5" Type="http://schemas.openxmlformats.org/officeDocument/2006/relationships/hyperlink" Target="#Beneficios!A1"/><Relationship Id="rId6" Type="http://schemas.openxmlformats.org/officeDocument/2006/relationships/hyperlink" Target="#Resultados!A1"/><Relationship Id="rId1" Type="http://schemas.openxmlformats.org/officeDocument/2006/relationships/image" Target="../media/image1.png"/><Relationship Id="rId2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puts!A1"/><Relationship Id="rId4" Type="http://schemas.openxmlformats.org/officeDocument/2006/relationships/hyperlink" Target="#Costos!A1"/><Relationship Id="rId5" Type="http://schemas.openxmlformats.org/officeDocument/2006/relationships/hyperlink" Target="#Beneficios!A1"/><Relationship Id="rId6" Type="http://schemas.openxmlformats.org/officeDocument/2006/relationships/hyperlink" Target="#Resultados!A1"/><Relationship Id="rId1" Type="http://schemas.openxmlformats.org/officeDocument/2006/relationships/image" Target="../media/image1.png"/><Relationship Id="rId2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puts!A1"/><Relationship Id="rId4" Type="http://schemas.openxmlformats.org/officeDocument/2006/relationships/hyperlink" Target="#Costos!A1"/><Relationship Id="rId5" Type="http://schemas.openxmlformats.org/officeDocument/2006/relationships/hyperlink" Target="#Beneficios!A1"/><Relationship Id="rId6" Type="http://schemas.openxmlformats.org/officeDocument/2006/relationships/hyperlink" Target="#Resultados!A1"/><Relationship Id="rId1" Type="http://schemas.openxmlformats.org/officeDocument/2006/relationships/image" Target="../media/image1.png"/><Relationship Id="rId2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puts!A1"/><Relationship Id="rId4" Type="http://schemas.openxmlformats.org/officeDocument/2006/relationships/hyperlink" Target="#Costos!A1"/><Relationship Id="rId5" Type="http://schemas.openxmlformats.org/officeDocument/2006/relationships/hyperlink" Target="#Beneficios!A1"/><Relationship Id="rId6" Type="http://schemas.openxmlformats.org/officeDocument/2006/relationships/hyperlink" Target="#Resultados!A1"/><Relationship Id="rId7" Type="http://schemas.openxmlformats.org/officeDocument/2006/relationships/chart" Target="../charts/chart1.xml"/><Relationship Id="rId1" Type="http://schemas.openxmlformats.org/officeDocument/2006/relationships/image" Target="../media/image1.png"/><Relationship Id="rId2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185461</xdr:colOff>
      <xdr:row>0</xdr:row>
      <xdr:rowOff>138953</xdr:rowOff>
    </xdr:from>
    <xdr:to>
      <xdr:col>14</xdr:col>
      <xdr:colOff>715499</xdr:colOff>
      <xdr:row>6</xdr:row>
      <xdr:rowOff>59951</xdr:rowOff>
    </xdr:to>
    <xdr:grpSp>
      <xdr:nvGrpSpPr>
        <xdr:cNvPr id="24" name="23 Grupo"/>
        <xdr:cNvGrpSpPr/>
      </xdr:nvGrpSpPr>
      <xdr:grpSpPr>
        <a:xfrm>
          <a:off x="185461" y="138953"/>
          <a:ext cx="12527803" cy="817469"/>
          <a:chOff x="219075" y="180975"/>
          <a:chExt cx="11544300" cy="781049"/>
        </a:xfrm>
      </xdr:grpSpPr>
      <xdr:pic>
        <xdr:nvPicPr>
          <xdr:cNvPr id="4" name="3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219076"/>
            <a:ext cx="2195052" cy="70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13 CuadroTexto"/>
          <xdr:cNvSpPr txBox="1"/>
        </xdr:nvSpPr>
        <xdr:spPr>
          <a:xfrm>
            <a:off x="2867025" y="180975"/>
            <a:ext cx="8896350" cy="7810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2000" b="1">
              <a:solidFill>
                <a:schemeClr val="accent6"/>
              </a:solidFill>
              <a:latin typeface="+mn-lt"/>
              <a:ea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absolute">
    <xdr:from>
      <xdr:col>0</xdr:col>
      <xdr:colOff>440954</xdr:colOff>
      <xdr:row>11</xdr:row>
      <xdr:rowOff>58834</xdr:rowOff>
    </xdr:from>
    <xdr:to>
      <xdr:col>2</xdr:col>
      <xdr:colOff>356954</xdr:colOff>
      <xdr:row>15</xdr:row>
      <xdr:rowOff>16128</xdr:rowOff>
    </xdr:to>
    <xdr:sp macro="" textlink="">
      <xdr:nvSpPr>
        <xdr:cNvPr id="25" name="24 Rectángulo">
          <a:hlinkClick xmlns:r="http://schemas.openxmlformats.org/officeDocument/2006/relationships" r:id="rId2"/>
        </xdr:cNvPr>
        <xdr:cNvSpPr/>
      </xdr:nvSpPr>
      <xdr:spPr>
        <a:xfrm>
          <a:off x="440954" y="1661275"/>
          <a:ext cx="1440000" cy="5400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Introducción</a:t>
          </a:r>
        </a:p>
      </xdr:txBody>
    </xdr:sp>
    <xdr:clientData/>
  </xdr:twoCellAnchor>
  <xdr:twoCellAnchor editAs="absolute">
    <xdr:from>
      <xdr:col>0</xdr:col>
      <xdr:colOff>440954</xdr:colOff>
      <xdr:row>15</xdr:row>
      <xdr:rowOff>50989</xdr:rowOff>
    </xdr:from>
    <xdr:to>
      <xdr:col>2</xdr:col>
      <xdr:colOff>356954</xdr:colOff>
      <xdr:row>19</xdr:row>
      <xdr:rowOff>8283</xdr:rowOff>
    </xdr:to>
    <xdr:sp macro="" textlink="">
      <xdr:nvSpPr>
        <xdr:cNvPr id="26" name="25 Rectángulo">
          <a:hlinkClick xmlns:r="http://schemas.openxmlformats.org/officeDocument/2006/relationships" r:id="rId3"/>
        </xdr:cNvPr>
        <xdr:cNvSpPr/>
      </xdr:nvSpPr>
      <xdr:spPr>
        <a:xfrm>
          <a:off x="440954" y="2236136"/>
          <a:ext cx="1440000" cy="5400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Inputs</a:t>
          </a:r>
        </a:p>
      </xdr:txBody>
    </xdr:sp>
    <xdr:clientData/>
  </xdr:twoCellAnchor>
  <xdr:twoCellAnchor editAs="absolute">
    <xdr:from>
      <xdr:col>0</xdr:col>
      <xdr:colOff>440954</xdr:colOff>
      <xdr:row>19</xdr:row>
      <xdr:rowOff>50429</xdr:rowOff>
    </xdr:from>
    <xdr:to>
      <xdr:col>2</xdr:col>
      <xdr:colOff>356954</xdr:colOff>
      <xdr:row>23</xdr:row>
      <xdr:rowOff>7723</xdr:rowOff>
    </xdr:to>
    <xdr:sp macro="" textlink="">
      <xdr:nvSpPr>
        <xdr:cNvPr id="27" name="26 Rectángulo">
          <a:hlinkClick xmlns:r="http://schemas.openxmlformats.org/officeDocument/2006/relationships" r:id="rId4"/>
        </xdr:cNvPr>
        <xdr:cNvSpPr/>
      </xdr:nvSpPr>
      <xdr:spPr>
        <a:xfrm>
          <a:off x="440954" y="2818282"/>
          <a:ext cx="1440000" cy="5400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Costos</a:t>
          </a:r>
        </a:p>
      </xdr:txBody>
    </xdr:sp>
    <xdr:clientData/>
  </xdr:twoCellAnchor>
  <xdr:twoCellAnchor editAs="absolute">
    <xdr:from>
      <xdr:col>0</xdr:col>
      <xdr:colOff>440954</xdr:colOff>
      <xdr:row>23</xdr:row>
      <xdr:rowOff>52110</xdr:rowOff>
    </xdr:from>
    <xdr:to>
      <xdr:col>2</xdr:col>
      <xdr:colOff>356954</xdr:colOff>
      <xdr:row>27</xdr:row>
      <xdr:rowOff>9404</xdr:rowOff>
    </xdr:to>
    <xdr:sp macro="" textlink="">
      <xdr:nvSpPr>
        <xdr:cNvPr id="29" name="28 Rectángulo">
          <a:hlinkClick xmlns:r="http://schemas.openxmlformats.org/officeDocument/2006/relationships" r:id="rId5"/>
        </xdr:cNvPr>
        <xdr:cNvSpPr/>
      </xdr:nvSpPr>
      <xdr:spPr>
        <a:xfrm>
          <a:off x="440954" y="3402669"/>
          <a:ext cx="1440000" cy="5400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Beneficios</a:t>
          </a:r>
        </a:p>
      </xdr:txBody>
    </xdr:sp>
    <xdr:clientData/>
  </xdr:twoCellAnchor>
  <xdr:twoCellAnchor editAs="absolute">
    <xdr:from>
      <xdr:col>0</xdr:col>
      <xdr:colOff>453841</xdr:colOff>
      <xdr:row>27</xdr:row>
      <xdr:rowOff>45947</xdr:rowOff>
    </xdr:from>
    <xdr:to>
      <xdr:col>2</xdr:col>
      <xdr:colOff>369841</xdr:colOff>
      <xdr:row>31</xdr:row>
      <xdr:rowOff>3241</xdr:rowOff>
    </xdr:to>
    <xdr:sp macro="" textlink="">
      <xdr:nvSpPr>
        <xdr:cNvPr id="30" name="29 Rectángulo">
          <a:hlinkClick xmlns:r="http://schemas.openxmlformats.org/officeDocument/2006/relationships" r:id="rId6"/>
        </xdr:cNvPr>
        <xdr:cNvSpPr/>
      </xdr:nvSpPr>
      <xdr:spPr>
        <a:xfrm>
          <a:off x="453841" y="3979212"/>
          <a:ext cx="1440000" cy="5400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Resultados</a:t>
          </a:r>
          <a:endParaRPr lang="es-MX" sz="1400" b="1" baseline="0"/>
        </a:p>
      </xdr:txBody>
    </xdr:sp>
    <xdr:clientData/>
  </xdr:twoCellAnchor>
  <xdr:twoCellAnchor>
    <xdr:from>
      <xdr:col>3</xdr:col>
      <xdr:colOff>425824</xdr:colOff>
      <xdr:row>10</xdr:row>
      <xdr:rowOff>112059</xdr:rowOff>
    </xdr:from>
    <xdr:to>
      <xdr:col>15</xdr:col>
      <xdr:colOff>168088</xdr:colOff>
      <xdr:row>31</xdr:row>
      <xdr:rowOff>44823</xdr:rowOff>
    </xdr:to>
    <xdr:sp macro="" textlink="">
      <xdr:nvSpPr>
        <xdr:cNvPr id="3" name="2 Rectángulo"/>
        <xdr:cNvSpPr/>
      </xdr:nvSpPr>
      <xdr:spPr>
        <a:xfrm>
          <a:off x="2711824" y="1568824"/>
          <a:ext cx="9188823" cy="299197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ln>
              <a:noFill/>
            </a:ln>
          </a:endParaRPr>
        </a:p>
      </xdr:txBody>
    </xdr:sp>
    <xdr:clientData/>
  </xdr:twoCellAnchor>
  <xdr:twoCellAnchor>
    <xdr:from>
      <xdr:col>3</xdr:col>
      <xdr:colOff>851647</xdr:colOff>
      <xdr:row>13</xdr:row>
      <xdr:rowOff>112059</xdr:rowOff>
    </xdr:from>
    <xdr:to>
      <xdr:col>14</xdr:col>
      <xdr:colOff>515471</xdr:colOff>
      <xdr:row>29</xdr:row>
      <xdr:rowOff>56029</xdr:rowOff>
    </xdr:to>
    <xdr:sp macro="" textlink="">
      <xdr:nvSpPr>
        <xdr:cNvPr id="6" name="5 CuadroTexto"/>
        <xdr:cNvSpPr txBox="1"/>
      </xdr:nvSpPr>
      <xdr:spPr>
        <a:xfrm>
          <a:off x="3137647" y="2005853"/>
          <a:ext cx="8348383" cy="227479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EVALUACIÓN</a:t>
          </a:r>
          <a:r>
            <a:rPr lang="es-MX" sz="3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ECONÓMICA DE </a:t>
          </a:r>
          <a:r>
            <a:rPr lang="es-MX" sz="3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REFORESTAR CON BROSIMUM ALICASTRUM EN</a:t>
          </a:r>
          <a:r>
            <a:rPr lang="es-MX" sz="3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LA </a:t>
          </a:r>
          <a:r>
            <a:rPr lang="es-MX" sz="3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PRODUCCIÓN</a:t>
          </a:r>
          <a:r>
            <a:rPr lang="es-MX" sz="3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 FORRAJE, SEMILLA SECA Y/O HARINA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2012</a:t>
          </a:r>
          <a:r>
            <a:rPr lang="es-MX" sz="3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3200">
            <a:solidFill>
              <a:schemeClr val="bg1"/>
            </a:solidFill>
            <a:effectLst/>
          </a:endParaRPr>
        </a:p>
        <a:p>
          <a:pPr algn="ctr"/>
          <a:endParaRPr lang="es-MX" sz="3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185461</xdr:colOff>
      <xdr:row>0</xdr:row>
      <xdr:rowOff>138953</xdr:rowOff>
    </xdr:from>
    <xdr:to>
      <xdr:col>14</xdr:col>
      <xdr:colOff>1186146</xdr:colOff>
      <xdr:row>6</xdr:row>
      <xdr:rowOff>59951</xdr:rowOff>
    </xdr:to>
    <xdr:grpSp>
      <xdr:nvGrpSpPr>
        <xdr:cNvPr id="2" name="1 Grupo"/>
        <xdr:cNvGrpSpPr/>
      </xdr:nvGrpSpPr>
      <xdr:grpSpPr>
        <a:xfrm>
          <a:off x="185461" y="138953"/>
          <a:ext cx="12837085" cy="835398"/>
          <a:chOff x="219075" y="180975"/>
          <a:chExt cx="11544300" cy="781049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219076"/>
            <a:ext cx="2195052" cy="70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3 CuadroTexto"/>
          <xdr:cNvSpPr txBox="1"/>
        </xdr:nvSpPr>
        <xdr:spPr>
          <a:xfrm>
            <a:off x="2867025" y="180975"/>
            <a:ext cx="8896350" cy="7810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EVALUACIÓN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ECONÓMICA DE 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REFORESTAR CON BROSIMUM ALICASTRUM EN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LA 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PRODUCCIÓN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DE FORRAJE, SEMILLA SECA Y/O MOLIDA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</a:t>
            </a:r>
          </a:p>
        </xdr:txBody>
      </xdr:sp>
    </xdr:grpSp>
    <xdr:clientData/>
  </xdr:twoCellAnchor>
  <xdr:twoCellAnchor editAs="absolute">
    <xdr:from>
      <xdr:col>0</xdr:col>
      <xdr:colOff>440954</xdr:colOff>
      <xdr:row>10</xdr:row>
      <xdr:rowOff>204510</xdr:rowOff>
    </xdr:from>
    <xdr:to>
      <xdr:col>2</xdr:col>
      <xdr:colOff>356954</xdr:colOff>
      <xdr:row>12</xdr:row>
      <xdr:rowOff>60951</xdr:rowOff>
    </xdr:to>
    <xdr:sp macro="" textlink="">
      <xdr:nvSpPr>
        <xdr:cNvPr id="5" name="4 Rectángulo">
          <a:hlinkClick xmlns:r="http://schemas.openxmlformats.org/officeDocument/2006/relationships" r:id="rId2"/>
        </xdr:cNvPr>
        <xdr:cNvSpPr/>
      </xdr:nvSpPr>
      <xdr:spPr>
        <a:xfrm>
          <a:off x="440954" y="1630459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Introducción</a:t>
          </a:r>
        </a:p>
      </xdr:txBody>
    </xdr:sp>
    <xdr:clientData/>
  </xdr:twoCellAnchor>
  <xdr:twoCellAnchor editAs="absolute">
    <xdr:from>
      <xdr:col>0</xdr:col>
      <xdr:colOff>440954</xdr:colOff>
      <xdr:row>12</xdr:row>
      <xdr:rowOff>95812</xdr:rowOff>
    </xdr:from>
    <xdr:to>
      <xdr:col>2</xdr:col>
      <xdr:colOff>356954</xdr:colOff>
      <xdr:row>16</xdr:row>
      <xdr:rowOff>30695</xdr:rowOff>
    </xdr:to>
    <xdr:sp macro="" textlink="">
      <xdr:nvSpPr>
        <xdr:cNvPr id="6" name="5 Rectángulo">
          <a:hlinkClick xmlns:r="http://schemas.openxmlformats.org/officeDocument/2006/relationships" r:id="rId3"/>
        </xdr:cNvPr>
        <xdr:cNvSpPr/>
      </xdr:nvSpPr>
      <xdr:spPr>
        <a:xfrm>
          <a:off x="440954" y="2194114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Inputs</a:t>
          </a:r>
        </a:p>
      </xdr:txBody>
    </xdr:sp>
    <xdr:clientData/>
  </xdr:twoCellAnchor>
  <xdr:twoCellAnchor editAs="absolute">
    <xdr:from>
      <xdr:col>0</xdr:col>
      <xdr:colOff>440954</xdr:colOff>
      <xdr:row>16</xdr:row>
      <xdr:rowOff>72841</xdr:rowOff>
    </xdr:from>
    <xdr:to>
      <xdr:col>2</xdr:col>
      <xdr:colOff>356954</xdr:colOff>
      <xdr:row>20</xdr:row>
      <xdr:rowOff>164606</xdr:rowOff>
    </xdr:to>
    <xdr:sp macro="" textlink="">
      <xdr:nvSpPr>
        <xdr:cNvPr id="7" name="6 Rectángulo">
          <a:hlinkClick xmlns:r="http://schemas.openxmlformats.org/officeDocument/2006/relationships" r:id="rId4"/>
        </xdr:cNvPr>
        <xdr:cNvSpPr/>
      </xdr:nvSpPr>
      <xdr:spPr>
        <a:xfrm>
          <a:off x="440954" y="2765054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Costos</a:t>
          </a:r>
        </a:p>
      </xdr:txBody>
    </xdr:sp>
    <xdr:clientData/>
  </xdr:twoCellAnchor>
  <xdr:twoCellAnchor editAs="absolute">
    <xdr:from>
      <xdr:col>0</xdr:col>
      <xdr:colOff>440954</xdr:colOff>
      <xdr:row>21</xdr:row>
      <xdr:rowOff>40904</xdr:rowOff>
    </xdr:from>
    <xdr:to>
      <xdr:col>2</xdr:col>
      <xdr:colOff>356954</xdr:colOff>
      <xdr:row>26</xdr:row>
      <xdr:rowOff>76640</xdr:rowOff>
    </xdr:to>
    <xdr:sp macro="" textlink="">
      <xdr:nvSpPr>
        <xdr:cNvPr id="8" name="7 Rectángulo">
          <a:hlinkClick xmlns:r="http://schemas.openxmlformats.org/officeDocument/2006/relationships" r:id="rId5"/>
        </xdr:cNvPr>
        <xdr:cNvSpPr/>
      </xdr:nvSpPr>
      <xdr:spPr>
        <a:xfrm>
          <a:off x="440954" y="3338235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Beneficios</a:t>
          </a:r>
        </a:p>
      </xdr:txBody>
    </xdr:sp>
    <xdr:clientData/>
  </xdr:twoCellAnchor>
  <xdr:twoCellAnchor editAs="absolute">
    <xdr:from>
      <xdr:col>0</xdr:col>
      <xdr:colOff>453841</xdr:colOff>
      <xdr:row>26</xdr:row>
      <xdr:rowOff>113183</xdr:rowOff>
    </xdr:from>
    <xdr:to>
      <xdr:col>2</xdr:col>
      <xdr:colOff>369841</xdr:colOff>
      <xdr:row>31</xdr:row>
      <xdr:rowOff>36859</xdr:rowOff>
    </xdr:to>
    <xdr:sp macro="" textlink="">
      <xdr:nvSpPr>
        <xdr:cNvPr id="9" name="8 Rectángulo">
          <a:hlinkClick xmlns:r="http://schemas.openxmlformats.org/officeDocument/2006/relationships" r:id="rId6"/>
        </xdr:cNvPr>
        <xdr:cNvSpPr/>
      </xdr:nvSpPr>
      <xdr:spPr>
        <a:xfrm>
          <a:off x="453841" y="3903572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Resultados</a:t>
          </a:r>
          <a:endParaRPr lang="es-MX" sz="1400" b="1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185461</xdr:colOff>
      <xdr:row>0</xdr:row>
      <xdr:rowOff>138953</xdr:rowOff>
    </xdr:from>
    <xdr:to>
      <xdr:col>11</xdr:col>
      <xdr:colOff>81806</xdr:colOff>
      <xdr:row>5</xdr:row>
      <xdr:rowOff>143295</xdr:rowOff>
    </xdr:to>
    <xdr:grpSp>
      <xdr:nvGrpSpPr>
        <xdr:cNvPr id="2" name="1 Grupo"/>
        <xdr:cNvGrpSpPr/>
      </xdr:nvGrpSpPr>
      <xdr:grpSpPr>
        <a:xfrm>
          <a:off x="185461" y="138953"/>
          <a:ext cx="13033225" cy="766342"/>
          <a:chOff x="219075" y="180975"/>
          <a:chExt cx="11544300" cy="781049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219076"/>
            <a:ext cx="2195052" cy="70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3 CuadroTexto"/>
          <xdr:cNvSpPr txBox="1"/>
        </xdr:nvSpPr>
        <xdr:spPr>
          <a:xfrm>
            <a:off x="2867025" y="180975"/>
            <a:ext cx="8896350" cy="7810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EVALUACIÓN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ECONÓMICA DE 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REFORESTAR CON BROSIMUM ALICASTRUM EN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LA 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PRODUCCIÓN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DE FORRAJE, SEMILLA SECA Y/O HARINA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</a:t>
            </a:r>
          </a:p>
        </xdr:txBody>
      </xdr:sp>
    </xdr:grpSp>
    <xdr:clientData/>
  </xdr:twoCellAnchor>
  <xdr:twoCellAnchor editAs="absolute">
    <xdr:from>
      <xdr:col>0</xdr:col>
      <xdr:colOff>440954</xdr:colOff>
      <xdr:row>8</xdr:row>
      <xdr:rowOff>400613</xdr:rowOff>
    </xdr:from>
    <xdr:to>
      <xdr:col>2</xdr:col>
      <xdr:colOff>356954</xdr:colOff>
      <xdr:row>10</xdr:row>
      <xdr:rowOff>157602</xdr:rowOff>
    </xdr:to>
    <xdr:sp macro="" textlink="">
      <xdr:nvSpPr>
        <xdr:cNvPr id="5" name="4 Rectángulo">
          <a:hlinkClick xmlns:r="http://schemas.openxmlformats.org/officeDocument/2006/relationships" r:id="rId2"/>
        </xdr:cNvPr>
        <xdr:cNvSpPr/>
      </xdr:nvSpPr>
      <xdr:spPr>
        <a:xfrm>
          <a:off x="440954" y="1630459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Introducción</a:t>
          </a:r>
        </a:p>
      </xdr:txBody>
    </xdr:sp>
    <xdr:clientData/>
  </xdr:twoCellAnchor>
  <xdr:twoCellAnchor editAs="absolute">
    <xdr:from>
      <xdr:col>0</xdr:col>
      <xdr:colOff>440954</xdr:colOff>
      <xdr:row>10</xdr:row>
      <xdr:rowOff>192463</xdr:rowOff>
    </xdr:from>
    <xdr:to>
      <xdr:col>2</xdr:col>
      <xdr:colOff>356954</xdr:colOff>
      <xdr:row>13</xdr:row>
      <xdr:rowOff>23131</xdr:rowOff>
    </xdr:to>
    <xdr:sp macro="" textlink="">
      <xdr:nvSpPr>
        <xdr:cNvPr id="6" name="5 Rectángulo">
          <a:hlinkClick xmlns:r="http://schemas.openxmlformats.org/officeDocument/2006/relationships" r:id="rId3"/>
        </xdr:cNvPr>
        <xdr:cNvSpPr/>
      </xdr:nvSpPr>
      <xdr:spPr>
        <a:xfrm>
          <a:off x="440954" y="2194114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Inputs</a:t>
          </a:r>
        </a:p>
      </xdr:txBody>
    </xdr:sp>
    <xdr:clientData/>
  </xdr:twoCellAnchor>
  <xdr:twoCellAnchor editAs="absolute">
    <xdr:from>
      <xdr:col>0</xdr:col>
      <xdr:colOff>440954</xdr:colOff>
      <xdr:row>13</xdr:row>
      <xdr:rowOff>70039</xdr:rowOff>
    </xdr:from>
    <xdr:to>
      <xdr:col>2</xdr:col>
      <xdr:colOff>356954</xdr:colOff>
      <xdr:row>16</xdr:row>
      <xdr:rowOff>103814</xdr:rowOff>
    </xdr:to>
    <xdr:sp macro="" textlink="">
      <xdr:nvSpPr>
        <xdr:cNvPr id="7" name="6 Rectángulo">
          <a:hlinkClick xmlns:r="http://schemas.openxmlformats.org/officeDocument/2006/relationships" r:id="rId4"/>
        </xdr:cNvPr>
        <xdr:cNvSpPr/>
      </xdr:nvSpPr>
      <xdr:spPr>
        <a:xfrm>
          <a:off x="440954" y="2765054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Costos</a:t>
          </a:r>
        </a:p>
      </xdr:txBody>
    </xdr:sp>
    <xdr:clientData/>
  </xdr:twoCellAnchor>
  <xdr:twoCellAnchor editAs="absolute">
    <xdr:from>
      <xdr:col>0</xdr:col>
      <xdr:colOff>440954</xdr:colOff>
      <xdr:row>16</xdr:row>
      <xdr:rowOff>148201</xdr:rowOff>
    </xdr:from>
    <xdr:to>
      <xdr:col>2</xdr:col>
      <xdr:colOff>356954</xdr:colOff>
      <xdr:row>20</xdr:row>
      <xdr:rowOff>18649</xdr:rowOff>
    </xdr:to>
    <xdr:sp macro="" textlink="">
      <xdr:nvSpPr>
        <xdr:cNvPr id="8" name="7 Rectángulo">
          <a:hlinkClick xmlns:r="http://schemas.openxmlformats.org/officeDocument/2006/relationships" r:id="rId5"/>
        </xdr:cNvPr>
        <xdr:cNvSpPr/>
      </xdr:nvSpPr>
      <xdr:spPr>
        <a:xfrm>
          <a:off x="440954" y="3338235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Beneficios</a:t>
          </a:r>
        </a:p>
      </xdr:txBody>
    </xdr:sp>
    <xdr:clientData/>
  </xdr:twoCellAnchor>
  <xdr:twoCellAnchor editAs="absolute">
    <xdr:from>
      <xdr:col>0</xdr:col>
      <xdr:colOff>453841</xdr:colOff>
      <xdr:row>20</xdr:row>
      <xdr:rowOff>59955</xdr:rowOff>
    </xdr:from>
    <xdr:to>
      <xdr:col>2</xdr:col>
      <xdr:colOff>369841</xdr:colOff>
      <xdr:row>23</xdr:row>
      <xdr:rowOff>98491</xdr:rowOff>
    </xdr:to>
    <xdr:sp macro="" textlink="">
      <xdr:nvSpPr>
        <xdr:cNvPr id="9" name="8 Rectángulo">
          <a:hlinkClick xmlns:r="http://schemas.openxmlformats.org/officeDocument/2006/relationships" r:id="rId6"/>
        </xdr:cNvPr>
        <xdr:cNvSpPr/>
      </xdr:nvSpPr>
      <xdr:spPr>
        <a:xfrm>
          <a:off x="453841" y="3903572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Resultados</a:t>
          </a:r>
          <a:endParaRPr lang="es-MX" sz="14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185461</xdr:colOff>
      <xdr:row>0</xdr:row>
      <xdr:rowOff>138953</xdr:rowOff>
    </xdr:from>
    <xdr:to>
      <xdr:col>13</xdr:col>
      <xdr:colOff>401734</xdr:colOff>
      <xdr:row>5</xdr:row>
      <xdr:rowOff>149598</xdr:rowOff>
    </xdr:to>
    <xdr:grpSp>
      <xdr:nvGrpSpPr>
        <xdr:cNvPr id="2" name="1 Grupo"/>
        <xdr:cNvGrpSpPr/>
      </xdr:nvGrpSpPr>
      <xdr:grpSpPr>
        <a:xfrm>
          <a:off x="185461" y="138953"/>
          <a:ext cx="12936593" cy="925045"/>
          <a:chOff x="219075" y="180975"/>
          <a:chExt cx="11544300" cy="781049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219076"/>
            <a:ext cx="2195052" cy="70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3 CuadroTexto"/>
          <xdr:cNvSpPr txBox="1"/>
        </xdr:nvSpPr>
        <xdr:spPr>
          <a:xfrm>
            <a:off x="2867025" y="180975"/>
            <a:ext cx="8896350" cy="7810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EVALUACIÓN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ECONÓMICA DE 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REFORESTAR CON BROSIMUM ALICASTRUM EN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LA 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PRODUCCIÓN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DE FORRAJE, SEMILLA SECA Y/O HARINA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</a:t>
            </a:r>
          </a:p>
        </xdr:txBody>
      </xdr:sp>
    </xdr:grpSp>
    <xdr:clientData/>
  </xdr:twoCellAnchor>
  <xdr:twoCellAnchor editAs="absolute">
    <xdr:from>
      <xdr:col>0</xdr:col>
      <xdr:colOff>440954</xdr:colOff>
      <xdr:row>9</xdr:row>
      <xdr:rowOff>249334</xdr:rowOff>
    </xdr:from>
    <xdr:to>
      <xdr:col>2</xdr:col>
      <xdr:colOff>356954</xdr:colOff>
      <xdr:row>11</xdr:row>
      <xdr:rowOff>318687</xdr:rowOff>
    </xdr:to>
    <xdr:sp macro="" textlink="">
      <xdr:nvSpPr>
        <xdr:cNvPr id="5" name="4 Rectángulo">
          <a:hlinkClick xmlns:r="http://schemas.openxmlformats.org/officeDocument/2006/relationships" r:id="rId2"/>
        </xdr:cNvPr>
        <xdr:cNvSpPr/>
      </xdr:nvSpPr>
      <xdr:spPr>
        <a:xfrm>
          <a:off x="440954" y="1630459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Introducción</a:t>
          </a:r>
        </a:p>
      </xdr:txBody>
    </xdr:sp>
    <xdr:clientData/>
  </xdr:twoCellAnchor>
  <xdr:twoCellAnchor editAs="absolute">
    <xdr:from>
      <xdr:col>0</xdr:col>
      <xdr:colOff>440954</xdr:colOff>
      <xdr:row>12</xdr:row>
      <xdr:rowOff>28577</xdr:rowOff>
    </xdr:from>
    <xdr:to>
      <xdr:col>2</xdr:col>
      <xdr:colOff>356954</xdr:colOff>
      <xdr:row>15</xdr:row>
      <xdr:rowOff>8283</xdr:rowOff>
    </xdr:to>
    <xdr:sp macro="" textlink="">
      <xdr:nvSpPr>
        <xdr:cNvPr id="6" name="5 Rectángulo">
          <a:hlinkClick xmlns:r="http://schemas.openxmlformats.org/officeDocument/2006/relationships" r:id="rId3"/>
        </xdr:cNvPr>
        <xdr:cNvSpPr/>
      </xdr:nvSpPr>
      <xdr:spPr>
        <a:xfrm>
          <a:off x="440954" y="2194114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Inputs</a:t>
          </a:r>
        </a:p>
      </xdr:txBody>
    </xdr:sp>
    <xdr:clientData/>
  </xdr:twoCellAnchor>
  <xdr:twoCellAnchor editAs="absolute">
    <xdr:from>
      <xdr:col>0</xdr:col>
      <xdr:colOff>440954</xdr:colOff>
      <xdr:row>15</xdr:row>
      <xdr:rowOff>50429</xdr:rowOff>
    </xdr:from>
    <xdr:to>
      <xdr:col>2</xdr:col>
      <xdr:colOff>356954</xdr:colOff>
      <xdr:row>18</xdr:row>
      <xdr:rowOff>119782</xdr:rowOff>
    </xdr:to>
    <xdr:sp macro="" textlink="">
      <xdr:nvSpPr>
        <xdr:cNvPr id="7" name="6 Rectángulo">
          <a:hlinkClick xmlns:r="http://schemas.openxmlformats.org/officeDocument/2006/relationships" r:id="rId4"/>
        </xdr:cNvPr>
        <xdr:cNvSpPr/>
      </xdr:nvSpPr>
      <xdr:spPr>
        <a:xfrm>
          <a:off x="440954" y="2765054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Costos</a:t>
          </a:r>
        </a:p>
      </xdr:txBody>
    </xdr:sp>
    <xdr:clientData/>
  </xdr:twoCellAnchor>
  <xdr:twoCellAnchor editAs="absolute">
    <xdr:from>
      <xdr:col>0</xdr:col>
      <xdr:colOff>440954</xdr:colOff>
      <xdr:row>19</xdr:row>
      <xdr:rowOff>7287</xdr:rowOff>
    </xdr:from>
    <xdr:to>
      <xdr:col>2</xdr:col>
      <xdr:colOff>356954</xdr:colOff>
      <xdr:row>22</xdr:row>
      <xdr:rowOff>76640</xdr:rowOff>
    </xdr:to>
    <xdr:sp macro="" textlink="">
      <xdr:nvSpPr>
        <xdr:cNvPr id="8" name="7 Rectángulo">
          <a:hlinkClick xmlns:r="http://schemas.openxmlformats.org/officeDocument/2006/relationships" r:id="rId5"/>
        </xdr:cNvPr>
        <xdr:cNvSpPr/>
      </xdr:nvSpPr>
      <xdr:spPr>
        <a:xfrm>
          <a:off x="440954" y="3338235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Beneficios</a:t>
          </a:r>
        </a:p>
      </xdr:txBody>
    </xdr:sp>
    <xdr:clientData/>
  </xdr:twoCellAnchor>
  <xdr:twoCellAnchor editAs="absolute">
    <xdr:from>
      <xdr:col>0</xdr:col>
      <xdr:colOff>453841</xdr:colOff>
      <xdr:row>22</xdr:row>
      <xdr:rowOff>113183</xdr:rowOff>
    </xdr:from>
    <xdr:to>
      <xdr:col>2</xdr:col>
      <xdr:colOff>369841</xdr:colOff>
      <xdr:row>26</xdr:row>
      <xdr:rowOff>25653</xdr:rowOff>
    </xdr:to>
    <xdr:sp macro="" textlink="">
      <xdr:nvSpPr>
        <xdr:cNvPr id="9" name="8 Rectángulo">
          <a:hlinkClick xmlns:r="http://schemas.openxmlformats.org/officeDocument/2006/relationships" r:id="rId6"/>
        </xdr:cNvPr>
        <xdr:cNvSpPr/>
      </xdr:nvSpPr>
      <xdr:spPr>
        <a:xfrm>
          <a:off x="453841" y="3979212"/>
          <a:ext cx="1440000" cy="5400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Resultados</a:t>
          </a:r>
          <a:endParaRPr lang="es-MX" sz="1400" b="1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185461</xdr:colOff>
      <xdr:row>0</xdr:row>
      <xdr:rowOff>138953</xdr:rowOff>
    </xdr:from>
    <xdr:to>
      <xdr:col>16</xdr:col>
      <xdr:colOff>589993</xdr:colOff>
      <xdr:row>5</xdr:row>
      <xdr:rowOff>149598</xdr:rowOff>
    </xdr:to>
    <xdr:grpSp>
      <xdr:nvGrpSpPr>
        <xdr:cNvPr id="2" name="1 Grupo"/>
        <xdr:cNvGrpSpPr/>
      </xdr:nvGrpSpPr>
      <xdr:grpSpPr>
        <a:xfrm>
          <a:off x="185461" y="138953"/>
          <a:ext cx="12657492" cy="772645"/>
          <a:chOff x="219075" y="180975"/>
          <a:chExt cx="11544300" cy="781049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219076"/>
            <a:ext cx="2195052" cy="70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3 CuadroTexto"/>
          <xdr:cNvSpPr txBox="1"/>
        </xdr:nvSpPr>
        <xdr:spPr>
          <a:xfrm>
            <a:off x="2867025" y="180975"/>
            <a:ext cx="8896350" cy="7810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EVALUACIÓN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ECONÓMICA DE 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REFORESTAR CON BROSIMUM ALICASTRUM EN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LA 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PRODUCCIÓN</a:t>
            </a:r>
            <a:r>
              <a:rPr lang="es-MX" sz="2000" b="1" baseline="0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DE FORRAJE, SEMILLA SECA Y/O HARINA</a:t>
            </a:r>
            <a:r>
              <a:rPr lang="es-MX" sz="2000" b="1">
                <a:solidFill>
                  <a:schemeClr val="accent6"/>
                </a:solidFill>
                <a:latin typeface="+mn-lt"/>
                <a:ea typeface="Tahoma" pitchFamily="34" charset="0"/>
                <a:cs typeface="Tahoma" pitchFamily="34" charset="0"/>
              </a:rPr>
              <a:t> </a:t>
            </a:r>
          </a:p>
        </xdr:txBody>
      </xdr:sp>
    </xdr:grpSp>
    <xdr:clientData/>
  </xdr:twoCellAnchor>
  <xdr:twoCellAnchor editAs="absolute">
    <xdr:from>
      <xdr:col>0</xdr:col>
      <xdr:colOff>440954</xdr:colOff>
      <xdr:row>9</xdr:row>
      <xdr:rowOff>193304</xdr:rowOff>
    </xdr:from>
    <xdr:to>
      <xdr:col>2</xdr:col>
      <xdr:colOff>356954</xdr:colOff>
      <xdr:row>14</xdr:row>
      <xdr:rowOff>17809</xdr:rowOff>
    </xdr:to>
    <xdr:sp macro="" textlink="">
      <xdr:nvSpPr>
        <xdr:cNvPr id="5" name="4 Rectángulo">
          <a:hlinkClick xmlns:r="http://schemas.openxmlformats.org/officeDocument/2006/relationships" r:id="rId2"/>
        </xdr:cNvPr>
        <xdr:cNvSpPr/>
      </xdr:nvSpPr>
      <xdr:spPr>
        <a:xfrm>
          <a:off x="440954" y="1630459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Introducción</a:t>
          </a:r>
        </a:p>
      </xdr:txBody>
    </xdr:sp>
    <xdr:clientData/>
  </xdr:twoCellAnchor>
  <xdr:twoCellAnchor editAs="absolute">
    <xdr:from>
      <xdr:col>0</xdr:col>
      <xdr:colOff>440954</xdr:colOff>
      <xdr:row>14</xdr:row>
      <xdr:rowOff>53790</xdr:rowOff>
    </xdr:from>
    <xdr:to>
      <xdr:col>2</xdr:col>
      <xdr:colOff>356954</xdr:colOff>
      <xdr:row>18</xdr:row>
      <xdr:rowOff>107455</xdr:rowOff>
    </xdr:to>
    <xdr:sp macro="" textlink="">
      <xdr:nvSpPr>
        <xdr:cNvPr id="6" name="5 Rectángulo">
          <a:hlinkClick xmlns:r="http://schemas.openxmlformats.org/officeDocument/2006/relationships" r:id="rId3"/>
        </xdr:cNvPr>
        <xdr:cNvSpPr/>
      </xdr:nvSpPr>
      <xdr:spPr>
        <a:xfrm>
          <a:off x="440954" y="2194114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Inputs</a:t>
          </a:r>
        </a:p>
      </xdr:txBody>
    </xdr:sp>
    <xdr:clientData/>
  </xdr:twoCellAnchor>
  <xdr:twoCellAnchor editAs="absolute">
    <xdr:from>
      <xdr:col>0</xdr:col>
      <xdr:colOff>440954</xdr:colOff>
      <xdr:row>18</xdr:row>
      <xdr:rowOff>149601</xdr:rowOff>
    </xdr:from>
    <xdr:to>
      <xdr:col>2</xdr:col>
      <xdr:colOff>356954</xdr:colOff>
      <xdr:row>21</xdr:row>
      <xdr:rowOff>170769</xdr:rowOff>
    </xdr:to>
    <xdr:sp macro="" textlink="">
      <xdr:nvSpPr>
        <xdr:cNvPr id="7" name="6 Rectángulo">
          <a:hlinkClick xmlns:r="http://schemas.openxmlformats.org/officeDocument/2006/relationships" r:id="rId4"/>
        </xdr:cNvPr>
        <xdr:cNvSpPr/>
      </xdr:nvSpPr>
      <xdr:spPr>
        <a:xfrm>
          <a:off x="440954" y="2765054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Costos</a:t>
          </a:r>
        </a:p>
      </xdr:txBody>
    </xdr:sp>
    <xdr:clientData/>
  </xdr:twoCellAnchor>
  <xdr:twoCellAnchor editAs="absolute">
    <xdr:from>
      <xdr:col>0</xdr:col>
      <xdr:colOff>440954</xdr:colOff>
      <xdr:row>22</xdr:row>
      <xdr:rowOff>43706</xdr:rowOff>
    </xdr:from>
    <xdr:to>
      <xdr:col>2</xdr:col>
      <xdr:colOff>356954</xdr:colOff>
      <xdr:row>25</xdr:row>
      <xdr:rowOff>64873</xdr:rowOff>
    </xdr:to>
    <xdr:sp macro="" textlink="">
      <xdr:nvSpPr>
        <xdr:cNvPr id="8" name="7 Rectángulo">
          <a:hlinkClick xmlns:r="http://schemas.openxmlformats.org/officeDocument/2006/relationships" r:id="rId5"/>
        </xdr:cNvPr>
        <xdr:cNvSpPr/>
      </xdr:nvSpPr>
      <xdr:spPr>
        <a:xfrm>
          <a:off x="440954" y="3338235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Beneficios</a:t>
          </a:r>
        </a:p>
      </xdr:txBody>
    </xdr:sp>
    <xdr:clientData/>
  </xdr:twoCellAnchor>
  <xdr:twoCellAnchor editAs="absolute">
    <xdr:from>
      <xdr:col>0</xdr:col>
      <xdr:colOff>453841</xdr:colOff>
      <xdr:row>25</xdr:row>
      <xdr:rowOff>101416</xdr:rowOff>
    </xdr:from>
    <xdr:to>
      <xdr:col>2</xdr:col>
      <xdr:colOff>369841</xdr:colOff>
      <xdr:row>28</xdr:row>
      <xdr:rowOff>134350</xdr:rowOff>
    </xdr:to>
    <xdr:sp macro="" textlink="">
      <xdr:nvSpPr>
        <xdr:cNvPr id="9" name="8 Rectángulo">
          <a:hlinkClick xmlns:r="http://schemas.openxmlformats.org/officeDocument/2006/relationships" r:id="rId6"/>
        </xdr:cNvPr>
        <xdr:cNvSpPr/>
      </xdr:nvSpPr>
      <xdr:spPr>
        <a:xfrm>
          <a:off x="453841" y="3903572"/>
          <a:ext cx="1440000" cy="528794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/>
            <a:t>Resultados</a:t>
          </a:r>
          <a:endParaRPr lang="es-MX" sz="1400" b="1" baseline="0"/>
        </a:p>
      </xdr:txBody>
    </xdr:sp>
    <xdr:clientData/>
  </xdr:twoCellAnchor>
  <xdr:twoCellAnchor editAs="absolute">
    <xdr:from>
      <xdr:col>4</xdr:col>
      <xdr:colOff>1</xdr:colOff>
      <xdr:row>20</xdr:row>
      <xdr:rowOff>71437</xdr:rowOff>
    </xdr:from>
    <xdr:to>
      <xdr:col>9</xdr:col>
      <xdr:colOff>19051</xdr:colOff>
      <xdr:row>31</xdr:row>
      <xdr:rowOff>114300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75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n>
              <a:noFill/>
            </a:ln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8" zoomScale="85" zoomScaleNormal="85" zoomScalePageLayoutView="85" workbookViewId="0"/>
  </sheetViews>
  <sheetFormatPr baseColWidth="10" defaultRowHeight="12" x14ac:dyDescent="0"/>
  <cols>
    <col min="4" max="4" width="27.5" bestFit="1" customWidth="1"/>
    <col min="5" max="5" width="5.6640625" customWidth="1"/>
    <col min="7" max="7" width="5.6640625" customWidth="1"/>
  </cols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W103"/>
  <sheetViews>
    <sheetView showGridLines="0" topLeftCell="K19" zoomScale="125" zoomScaleNormal="125" zoomScalePageLayoutView="125" workbookViewId="0">
      <selection activeCell="T22" sqref="T22"/>
    </sheetView>
  </sheetViews>
  <sheetFormatPr baseColWidth="10" defaultRowHeight="12" x14ac:dyDescent="0"/>
  <cols>
    <col min="4" max="4" width="55.1640625" bestFit="1" customWidth="1"/>
    <col min="5" max="5" width="3.6640625" customWidth="1"/>
    <col min="6" max="6" width="10.6640625" customWidth="1"/>
    <col min="7" max="8" width="3.6640625" customWidth="1"/>
    <col min="9" max="9" width="15.5" customWidth="1"/>
    <col min="10" max="10" width="3.6640625" customWidth="1"/>
    <col min="11" max="11" width="10.6640625" customWidth="1"/>
    <col min="12" max="12" width="2.6640625" customWidth="1"/>
    <col min="13" max="13" width="10.6640625" customWidth="1"/>
    <col min="14" max="14" width="2.6640625" customWidth="1"/>
    <col min="15" max="15" width="32.83203125" customWidth="1"/>
    <col min="16" max="17" width="3.6640625" customWidth="1"/>
    <col min="18" max="18" width="39.5" bestFit="1" customWidth="1"/>
    <col min="19" max="19" width="3.6640625" customWidth="1"/>
    <col min="21" max="21" width="2.6640625" customWidth="1"/>
    <col min="22" max="22" width="38.5" customWidth="1"/>
    <col min="23" max="23" width="3.6640625" customWidth="1"/>
  </cols>
  <sheetData>
    <row r="11" spans="4:23" ht="41.25" customHeight="1">
      <c r="D11" s="96" t="s">
        <v>156</v>
      </c>
      <c r="E11" s="96"/>
      <c r="F11" s="96"/>
      <c r="G11" s="96"/>
      <c r="H11" s="96"/>
      <c r="I11" s="96"/>
      <c r="J11" s="96"/>
      <c r="K11" s="96"/>
      <c r="L11" s="14"/>
      <c r="M11" s="14"/>
      <c r="N11" s="14"/>
      <c r="U11" s="14"/>
    </row>
    <row r="12" spans="4:23" ht="13" thickBot="1">
      <c r="D12" s="3"/>
      <c r="E12" s="4"/>
      <c r="F12" s="4"/>
    </row>
    <row r="13" spans="4:23" ht="16" customHeight="1" thickBot="1">
      <c r="D13" s="43" t="s">
        <v>105</v>
      </c>
      <c r="E13" s="44"/>
      <c r="F13" s="44"/>
      <c r="G13" s="45"/>
      <c r="I13" s="40" t="s">
        <v>106</v>
      </c>
      <c r="J13" s="41"/>
      <c r="K13" s="41"/>
      <c r="L13" s="41"/>
      <c r="M13" s="41"/>
      <c r="N13" s="41"/>
      <c r="O13" s="41"/>
      <c r="P13" s="42"/>
      <c r="Q13" s="2"/>
      <c r="R13" s="47" t="s">
        <v>98</v>
      </c>
      <c r="S13" s="48"/>
      <c r="T13" s="48"/>
      <c r="U13" s="48"/>
      <c r="V13" s="48"/>
      <c r="W13" s="45"/>
    </row>
    <row r="14" spans="4:23" ht="15" customHeight="1" thickBot="1">
      <c r="D14" s="97" t="s">
        <v>157</v>
      </c>
      <c r="E14" s="98"/>
      <c r="F14" s="98"/>
      <c r="G14" s="46"/>
      <c r="H14" s="2"/>
      <c r="I14" s="97" t="s">
        <v>84</v>
      </c>
      <c r="J14" s="98"/>
      <c r="K14" s="98"/>
      <c r="L14" s="98"/>
      <c r="M14" s="98"/>
      <c r="N14" s="98"/>
      <c r="O14" s="98"/>
      <c r="P14" s="46"/>
      <c r="Q14" s="2"/>
      <c r="R14" s="97" t="s">
        <v>95</v>
      </c>
      <c r="S14" s="98"/>
      <c r="T14" s="98"/>
      <c r="U14" s="98"/>
      <c r="V14" s="98"/>
      <c r="W14" s="46"/>
    </row>
    <row r="15" spans="4:23" ht="14">
      <c r="D15" s="28"/>
      <c r="E15" s="15"/>
      <c r="F15" s="29"/>
      <c r="G15" s="27"/>
      <c r="H15" s="2"/>
      <c r="I15" s="31" t="s">
        <v>89</v>
      </c>
      <c r="J15" s="2"/>
      <c r="K15" s="22" t="s">
        <v>135</v>
      </c>
      <c r="L15" s="22"/>
      <c r="M15" s="22" t="s">
        <v>136</v>
      </c>
      <c r="N15" s="23"/>
      <c r="O15" s="22" t="s">
        <v>17</v>
      </c>
      <c r="P15" s="27"/>
      <c r="Q15" s="2"/>
      <c r="R15" s="57" t="s">
        <v>96</v>
      </c>
      <c r="S15" s="52"/>
      <c r="T15" s="53" t="s">
        <v>97</v>
      </c>
      <c r="U15" s="53"/>
      <c r="V15" s="54" t="s">
        <v>17</v>
      </c>
      <c r="W15" s="26"/>
    </row>
    <row r="16" spans="4:23" ht="5" customHeight="1" thickBot="1">
      <c r="D16" s="30"/>
      <c r="E16" s="3"/>
      <c r="F16" s="2"/>
      <c r="G16" s="27"/>
      <c r="H16" s="2"/>
      <c r="I16" s="32"/>
      <c r="J16" s="2"/>
      <c r="K16" s="1"/>
      <c r="L16" s="1"/>
      <c r="M16" s="1"/>
      <c r="N16" s="1"/>
      <c r="O16" s="2"/>
      <c r="P16" s="27"/>
      <c r="Q16" s="2"/>
      <c r="R16" s="32"/>
      <c r="S16" s="2"/>
      <c r="T16" s="1"/>
      <c r="U16" s="1"/>
      <c r="V16" s="2"/>
      <c r="W16" s="27"/>
    </row>
    <row r="17" spans="3:23" ht="15" thickBot="1">
      <c r="C17" s="2"/>
      <c r="D17" s="62" t="s">
        <v>82</v>
      </c>
      <c r="E17" s="2"/>
      <c r="F17" s="61">
        <f>+F19+F21</f>
        <v>20903.07</v>
      </c>
      <c r="G17" s="27"/>
      <c r="H17" s="2"/>
      <c r="I17" s="33" t="s">
        <v>86</v>
      </c>
      <c r="J17" s="2"/>
      <c r="K17" s="21">
        <v>0</v>
      </c>
      <c r="L17" s="24"/>
      <c r="M17" s="21">
        <f>K17/3</f>
        <v>0</v>
      </c>
      <c r="N17" s="24"/>
      <c r="O17" s="25" t="s">
        <v>90</v>
      </c>
      <c r="P17" s="27"/>
      <c r="Q17" s="2"/>
      <c r="R17" s="33" t="s">
        <v>107</v>
      </c>
      <c r="S17" s="2"/>
      <c r="T17" s="19">
        <v>0.15</v>
      </c>
      <c r="U17" s="24"/>
      <c r="V17" s="55" t="s">
        <v>138</v>
      </c>
      <c r="W17" s="27"/>
    </row>
    <row r="18" spans="3:23" ht="5" customHeight="1" thickBot="1">
      <c r="C18" s="2"/>
      <c r="D18" s="32"/>
      <c r="E18" s="2"/>
      <c r="F18" s="1"/>
      <c r="G18" s="27"/>
      <c r="H18" s="2"/>
      <c r="I18" s="32"/>
      <c r="J18" s="2"/>
      <c r="K18" s="1"/>
      <c r="L18" s="1"/>
      <c r="M18" s="1"/>
      <c r="N18" s="1"/>
      <c r="O18" s="2"/>
      <c r="P18" s="27"/>
      <c r="Q18" s="2"/>
      <c r="R18" s="32"/>
      <c r="S18" s="2"/>
      <c r="T18" s="1"/>
      <c r="U18" s="1"/>
      <c r="V18" s="56"/>
      <c r="W18" s="27"/>
    </row>
    <row r="19" spans="3:23" ht="13.5" customHeight="1" thickBot="1">
      <c r="C19" s="2"/>
      <c r="D19" s="33" t="s">
        <v>0</v>
      </c>
      <c r="E19" s="2"/>
      <c r="F19" s="19">
        <f>+Costos!G25</f>
        <v>1703.07</v>
      </c>
      <c r="G19" s="27"/>
      <c r="H19" s="2"/>
      <c r="I19" s="38" t="s">
        <v>87</v>
      </c>
      <c r="J19" s="2"/>
      <c r="K19" s="21">
        <v>1.1000000000000001</v>
      </c>
      <c r="L19" s="24"/>
      <c r="M19" s="21">
        <f t="shared" ref="M19" si="0">K19/3</f>
        <v>0.3666666666666667</v>
      </c>
      <c r="N19" s="24"/>
      <c r="O19" s="99" t="s">
        <v>91</v>
      </c>
      <c r="P19" s="27"/>
      <c r="Q19" s="2"/>
      <c r="R19" s="33" t="s">
        <v>115</v>
      </c>
      <c r="S19" s="2"/>
      <c r="T19" s="19">
        <v>0.25</v>
      </c>
      <c r="U19" s="24"/>
      <c r="V19" s="55" t="s">
        <v>104</v>
      </c>
      <c r="W19" s="27"/>
    </row>
    <row r="20" spans="3:23" ht="5" customHeight="1" thickBot="1">
      <c r="C20" s="2"/>
      <c r="D20" s="32"/>
      <c r="E20" s="2"/>
      <c r="F20" s="1"/>
      <c r="G20" s="27"/>
      <c r="H20" s="2"/>
      <c r="I20" s="32"/>
      <c r="J20" s="2"/>
      <c r="K20" s="1"/>
      <c r="L20" s="1"/>
      <c r="M20" s="1"/>
      <c r="N20" s="1"/>
      <c r="O20" s="100"/>
      <c r="P20" s="27"/>
      <c r="Q20" s="2"/>
      <c r="R20" s="32"/>
      <c r="S20" s="2"/>
      <c r="T20" s="1"/>
      <c r="U20" s="1"/>
      <c r="V20" s="56"/>
      <c r="W20" s="27"/>
    </row>
    <row r="21" spans="3:23" ht="15" thickBot="1">
      <c r="C21" s="2"/>
      <c r="D21" s="33" t="s">
        <v>80</v>
      </c>
      <c r="E21" s="2"/>
      <c r="F21" s="19">
        <f>+Costos!G45</f>
        <v>19200</v>
      </c>
      <c r="G21" s="27"/>
      <c r="H21" s="2"/>
      <c r="I21" s="33" t="s">
        <v>48</v>
      </c>
      <c r="J21" s="2"/>
      <c r="K21" s="21">
        <v>2.2000000000000002</v>
      </c>
      <c r="L21" s="24"/>
      <c r="M21" s="21">
        <f t="shared" ref="M21" si="1">K21/3</f>
        <v>0.73333333333333339</v>
      </c>
      <c r="N21" s="24"/>
      <c r="O21" s="100"/>
      <c r="P21" s="27"/>
      <c r="Q21" s="2"/>
      <c r="R21" s="33" t="s">
        <v>116</v>
      </c>
      <c r="S21" s="2"/>
      <c r="T21" s="19">
        <v>1.5</v>
      </c>
      <c r="U21" s="24"/>
      <c r="V21" s="55" t="s">
        <v>108</v>
      </c>
      <c r="W21" s="27"/>
    </row>
    <row r="22" spans="3:23" ht="5" customHeight="1" thickBot="1">
      <c r="C22" s="2"/>
      <c r="D22" s="32"/>
      <c r="E22" s="2"/>
      <c r="F22" s="1"/>
      <c r="G22" s="27"/>
      <c r="H22" s="2"/>
      <c r="I22" s="32" t="s">
        <v>85</v>
      </c>
      <c r="J22" s="2"/>
      <c r="K22" s="1"/>
      <c r="L22" s="1"/>
      <c r="M22" s="1"/>
      <c r="N22" s="1"/>
      <c r="O22" s="100"/>
      <c r="P22" s="27"/>
      <c r="Q22" s="2"/>
      <c r="R22" s="32"/>
      <c r="S22" s="2"/>
      <c r="T22" s="1"/>
      <c r="U22" s="1"/>
      <c r="V22" s="56"/>
      <c r="W22" s="27"/>
    </row>
    <row r="23" spans="3:23" ht="15" thickBot="1">
      <c r="C23" s="2"/>
      <c r="D23" s="62" t="s">
        <v>141</v>
      </c>
      <c r="E23" s="2"/>
      <c r="F23" s="61">
        <f>+F25+F27+F29</f>
        <v>23903.07</v>
      </c>
      <c r="G23" s="27"/>
      <c r="H23" s="2"/>
      <c r="I23" s="33" t="s">
        <v>49</v>
      </c>
      <c r="J23" s="2"/>
      <c r="K23" s="21">
        <v>17.64</v>
      </c>
      <c r="L23" s="24"/>
      <c r="M23" s="21">
        <f t="shared" ref="M23" si="2">K23/3</f>
        <v>5.88</v>
      </c>
      <c r="N23" s="24"/>
      <c r="O23" s="100"/>
      <c r="P23" s="27"/>
      <c r="Q23" s="2"/>
      <c r="R23" s="33" t="s">
        <v>159</v>
      </c>
      <c r="S23" s="2"/>
      <c r="T23" s="19">
        <v>3</v>
      </c>
      <c r="U23" s="24"/>
      <c r="V23" s="55" t="s">
        <v>108</v>
      </c>
      <c r="W23" s="27"/>
    </row>
    <row r="24" spans="3:23" ht="5" customHeight="1" thickBot="1">
      <c r="C24" s="2"/>
      <c r="D24" s="32"/>
      <c r="E24" s="2"/>
      <c r="F24" s="1"/>
      <c r="G24" s="27"/>
      <c r="H24" s="2"/>
      <c r="I24" s="32"/>
      <c r="J24" s="2"/>
      <c r="K24" s="1"/>
      <c r="L24" s="1"/>
      <c r="M24" s="1"/>
      <c r="N24" s="1"/>
      <c r="O24" s="100"/>
      <c r="P24" s="27"/>
      <c r="Q24" s="2"/>
      <c r="R24" s="32"/>
      <c r="S24" s="2"/>
      <c r="T24" s="1"/>
      <c r="U24" s="1"/>
      <c r="V24" s="56"/>
      <c r="W24" s="27"/>
    </row>
    <row r="25" spans="3:23" ht="15" thickBot="1">
      <c r="C25" s="2"/>
      <c r="D25" s="33" t="s">
        <v>0</v>
      </c>
      <c r="E25" s="2"/>
      <c r="F25" s="19">
        <f>+F19</f>
        <v>1703.07</v>
      </c>
      <c r="G25" s="27"/>
      <c r="H25" s="2"/>
      <c r="I25" s="33" t="s">
        <v>50</v>
      </c>
      <c r="J25" s="2"/>
      <c r="K25" s="21">
        <v>26.46</v>
      </c>
      <c r="L25" s="24"/>
      <c r="M25" s="21">
        <f t="shared" ref="M25" si="3">K25/3</f>
        <v>8.82</v>
      </c>
      <c r="N25" s="24"/>
      <c r="O25" s="100"/>
      <c r="P25" s="27"/>
      <c r="Q25" s="2"/>
      <c r="R25" s="33" t="s">
        <v>99</v>
      </c>
      <c r="S25" s="2"/>
      <c r="T25" s="49">
        <v>5.0999999999999997E-2</v>
      </c>
      <c r="U25" s="24"/>
      <c r="V25" s="55" t="s">
        <v>104</v>
      </c>
      <c r="W25" s="27"/>
    </row>
    <row r="26" spans="3:23" ht="5" customHeight="1" thickBot="1">
      <c r="C26" s="2"/>
      <c r="D26" s="33"/>
      <c r="E26" s="2"/>
      <c r="F26" s="1"/>
      <c r="G26" s="27"/>
      <c r="H26" s="2"/>
      <c r="I26" s="32" t="s">
        <v>85</v>
      </c>
      <c r="J26" s="2"/>
      <c r="K26" s="1"/>
      <c r="L26" s="1"/>
      <c r="M26" s="1"/>
      <c r="N26" s="1"/>
      <c r="O26" s="100"/>
      <c r="P26" s="27"/>
      <c r="Q26" s="2"/>
      <c r="R26" s="32"/>
      <c r="S26" s="2"/>
      <c r="T26" s="1"/>
      <c r="U26" s="1"/>
      <c r="V26" s="56"/>
      <c r="W26" s="27"/>
    </row>
    <row r="27" spans="3:23" ht="15" thickBot="1">
      <c r="C27" s="2"/>
      <c r="D27" s="33" t="s">
        <v>80</v>
      </c>
      <c r="E27" s="2"/>
      <c r="F27" s="19">
        <f>+F21</f>
        <v>19200</v>
      </c>
      <c r="G27" s="27"/>
      <c r="H27" s="2"/>
      <c r="I27" s="33" t="s">
        <v>51</v>
      </c>
      <c r="J27" s="2"/>
      <c r="K27" s="21">
        <v>33.07</v>
      </c>
      <c r="L27" s="24"/>
      <c r="M27" s="21">
        <f t="shared" ref="M27" si="4">K27/3</f>
        <v>11.023333333333333</v>
      </c>
      <c r="N27" s="24"/>
      <c r="O27" s="101"/>
      <c r="P27" s="27"/>
      <c r="Q27" s="2"/>
      <c r="R27" s="38" t="s">
        <v>100</v>
      </c>
      <c r="S27" s="2"/>
      <c r="T27" s="51">
        <v>2012</v>
      </c>
      <c r="U27" s="24"/>
      <c r="V27" s="55" t="s">
        <v>104</v>
      </c>
      <c r="W27" s="27"/>
    </row>
    <row r="28" spans="3:23" ht="5" customHeight="1" thickBot="1">
      <c r="C28" s="2"/>
      <c r="D28" s="33"/>
      <c r="E28" s="2"/>
      <c r="F28" s="1"/>
      <c r="G28" s="27"/>
      <c r="H28" s="2"/>
      <c r="I28" s="32"/>
      <c r="J28" s="2"/>
      <c r="K28" s="1"/>
      <c r="L28" s="1"/>
      <c r="M28" s="1"/>
      <c r="N28" s="1"/>
      <c r="O28" s="2"/>
      <c r="P28" s="27"/>
      <c r="Q28" s="2"/>
      <c r="R28" s="32"/>
      <c r="S28" s="2"/>
      <c r="T28" s="1"/>
      <c r="U28" s="1"/>
      <c r="V28" s="56"/>
      <c r="W28" s="27"/>
    </row>
    <row r="29" spans="3:23" ht="13.5" customHeight="1" thickBot="1">
      <c r="C29" s="2"/>
      <c r="D29" s="33" t="s">
        <v>114</v>
      </c>
      <c r="E29" s="2"/>
      <c r="F29" s="19">
        <f>+Costos!G54</f>
        <v>3000</v>
      </c>
      <c r="G29" s="27"/>
      <c r="H29" s="2"/>
      <c r="I29" s="33" t="s">
        <v>52</v>
      </c>
      <c r="J29" s="2"/>
      <c r="K29" s="21">
        <v>37.479999999999997</v>
      </c>
      <c r="L29" s="24"/>
      <c r="M29" s="21">
        <f t="shared" ref="M29" si="5">K29/3</f>
        <v>12.493333333333332</v>
      </c>
      <c r="N29" s="24"/>
      <c r="O29" s="102" t="s">
        <v>92</v>
      </c>
      <c r="P29" s="27"/>
      <c r="Q29" s="2"/>
      <c r="R29" s="33" t="s">
        <v>101</v>
      </c>
      <c r="S29" s="2"/>
      <c r="T29" s="21">
        <v>8</v>
      </c>
      <c r="U29" s="24"/>
      <c r="V29" s="55" t="s">
        <v>108</v>
      </c>
      <c r="W29" s="27"/>
    </row>
    <row r="30" spans="3:23" ht="5" customHeight="1" thickBot="1">
      <c r="C30" s="2"/>
      <c r="D30" s="32"/>
      <c r="E30" s="2"/>
      <c r="F30" s="1"/>
      <c r="G30" s="27"/>
      <c r="H30" s="2"/>
      <c r="I30" s="32" t="s">
        <v>85</v>
      </c>
      <c r="J30" s="2"/>
      <c r="K30" s="1"/>
      <c r="L30" s="1"/>
      <c r="M30" s="1"/>
      <c r="N30" s="1"/>
      <c r="O30" s="103"/>
      <c r="P30" s="27"/>
      <c r="Q30" s="2"/>
      <c r="R30" s="32"/>
      <c r="S30" s="2"/>
      <c r="T30" s="1"/>
      <c r="U30" s="1"/>
      <c r="V30" s="56"/>
      <c r="W30" s="27"/>
    </row>
    <row r="31" spans="3:23" ht="15" thickBot="1">
      <c r="C31" s="2"/>
      <c r="D31" s="62" t="s">
        <v>83</v>
      </c>
      <c r="E31" s="2"/>
      <c r="F31" s="61">
        <f>+F33+F35</f>
        <v>5344.45</v>
      </c>
      <c r="G31" s="27"/>
      <c r="H31" s="2"/>
      <c r="I31" s="33" t="s">
        <v>53</v>
      </c>
      <c r="J31" s="2"/>
      <c r="K31" s="21">
        <v>39.68</v>
      </c>
      <c r="L31" s="24"/>
      <c r="M31" s="21">
        <f t="shared" ref="M31" si="6">K31/3</f>
        <v>13.226666666666667</v>
      </c>
      <c r="N31" s="24"/>
      <c r="O31" s="103"/>
      <c r="P31" s="27"/>
      <c r="Q31" s="2"/>
      <c r="R31" s="33" t="s">
        <v>102</v>
      </c>
      <c r="S31" s="2"/>
      <c r="T31" s="19">
        <v>50</v>
      </c>
      <c r="U31" s="24"/>
      <c r="V31" s="55" t="s">
        <v>108</v>
      </c>
      <c r="W31" s="27"/>
    </row>
    <row r="32" spans="3:23" ht="5" customHeight="1" thickBot="1">
      <c r="C32" s="2"/>
      <c r="D32" s="32"/>
      <c r="E32" s="2"/>
      <c r="F32" s="1"/>
      <c r="G32" s="27"/>
      <c r="H32" s="2"/>
      <c r="I32" s="32"/>
      <c r="J32" s="2"/>
      <c r="K32" s="1"/>
      <c r="L32" s="1"/>
      <c r="M32" s="1"/>
      <c r="N32" s="1"/>
      <c r="O32" s="103"/>
      <c r="P32" s="27"/>
      <c r="Q32" s="2"/>
      <c r="R32" s="32"/>
      <c r="S32" s="2"/>
      <c r="T32" s="1"/>
      <c r="U32" s="1"/>
      <c r="V32" s="56"/>
      <c r="W32" s="27"/>
    </row>
    <row r="33" spans="3:23" ht="15" thickBot="1">
      <c r="C33" s="2"/>
      <c r="D33" s="33" t="s">
        <v>0</v>
      </c>
      <c r="E33" s="2"/>
      <c r="F33" s="19">
        <f>+Costos!M22</f>
        <v>4905</v>
      </c>
      <c r="G33" s="27"/>
      <c r="H33" s="2"/>
      <c r="I33" s="33" t="s">
        <v>54</v>
      </c>
      <c r="J33" s="2"/>
      <c r="K33" s="21">
        <v>41.89</v>
      </c>
      <c r="L33" s="24"/>
      <c r="M33" s="21">
        <f t="shared" ref="M33" si="7">K33/3</f>
        <v>13.963333333333333</v>
      </c>
      <c r="N33" s="24"/>
      <c r="O33" s="103"/>
      <c r="P33" s="27"/>
      <c r="Q33" s="2"/>
      <c r="R33" s="33" t="s">
        <v>103</v>
      </c>
      <c r="S33" s="2"/>
      <c r="T33" s="21">
        <v>1100</v>
      </c>
      <c r="U33" s="24"/>
      <c r="V33" s="55" t="s">
        <v>109</v>
      </c>
      <c r="W33" s="27"/>
    </row>
    <row r="34" spans="3:23" ht="5" customHeight="1" thickBot="1">
      <c r="C34" s="2"/>
      <c r="D34" s="32"/>
      <c r="E34" s="2"/>
      <c r="F34" s="1"/>
      <c r="G34" s="27"/>
      <c r="H34" s="2"/>
      <c r="I34" s="32" t="s">
        <v>85</v>
      </c>
      <c r="J34" s="2"/>
      <c r="K34" s="1"/>
      <c r="L34" s="1"/>
      <c r="M34" s="1"/>
      <c r="N34" s="1"/>
      <c r="O34" s="103"/>
      <c r="P34" s="27"/>
      <c r="Q34" s="2"/>
      <c r="R34" s="34"/>
      <c r="S34" s="35"/>
      <c r="T34" s="36"/>
      <c r="U34" s="36"/>
      <c r="V34" s="35"/>
      <c r="W34" s="37"/>
    </row>
    <row r="35" spans="3:23" ht="15" thickBot="1">
      <c r="C35" s="2"/>
      <c r="D35" s="33" t="s">
        <v>80</v>
      </c>
      <c r="E35" s="2"/>
      <c r="F35" s="19">
        <f>+Costos!M32</f>
        <v>439.45</v>
      </c>
      <c r="G35" s="27"/>
      <c r="H35" s="2"/>
      <c r="I35" s="33" t="s">
        <v>55</v>
      </c>
      <c r="J35" s="2"/>
      <c r="K35" s="21">
        <v>46.3</v>
      </c>
      <c r="L35" s="24"/>
      <c r="M35" s="21">
        <f t="shared" ref="M35" si="8">K35/3</f>
        <v>15.433333333333332</v>
      </c>
      <c r="N35" s="24"/>
      <c r="O35" s="103"/>
      <c r="P35" s="27"/>
      <c r="Q35" s="2"/>
      <c r="R35" s="18"/>
      <c r="T35" s="50"/>
      <c r="U35" s="24"/>
      <c r="V35" s="50"/>
    </row>
    <row r="36" spans="3:23" ht="5" customHeight="1" thickBot="1">
      <c r="C36" s="2"/>
      <c r="D36" s="32"/>
      <c r="E36" s="2"/>
      <c r="F36" s="1"/>
      <c r="G36" s="27"/>
      <c r="H36" s="2"/>
      <c r="I36" s="32"/>
      <c r="J36" s="2"/>
      <c r="K36" s="1"/>
      <c r="L36" s="1"/>
      <c r="M36" s="1"/>
      <c r="N36" s="1"/>
      <c r="O36" s="103"/>
      <c r="P36" s="27"/>
      <c r="Q36" s="2"/>
      <c r="R36" s="16"/>
      <c r="T36" s="50"/>
      <c r="U36" s="1"/>
    </row>
    <row r="37" spans="3:23" ht="15" thickBot="1">
      <c r="C37" s="2"/>
      <c r="D37" s="62" t="s">
        <v>158</v>
      </c>
      <c r="E37" s="2"/>
      <c r="F37" s="61"/>
      <c r="G37" s="27"/>
      <c r="H37" s="2"/>
      <c r="I37" s="33" t="s">
        <v>56</v>
      </c>
      <c r="J37" s="2"/>
      <c r="K37" s="21">
        <v>48.5</v>
      </c>
      <c r="L37" s="24"/>
      <c r="M37" s="21">
        <f t="shared" ref="M37" si="9">K37/3</f>
        <v>16.166666666666668</v>
      </c>
      <c r="N37" s="24"/>
      <c r="O37" s="104"/>
      <c r="P37" s="27"/>
      <c r="Q37" s="2"/>
      <c r="R37" s="18"/>
      <c r="T37" s="50"/>
      <c r="U37" s="24"/>
      <c r="V37" s="50"/>
    </row>
    <row r="38" spans="3:23" ht="5" customHeight="1" thickBot="1">
      <c r="C38" s="2"/>
      <c r="D38" s="32"/>
      <c r="E38" s="2"/>
      <c r="F38" s="1"/>
      <c r="G38" s="27"/>
      <c r="H38" s="2"/>
      <c r="I38" s="32" t="s">
        <v>85</v>
      </c>
      <c r="J38" s="2"/>
      <c r="K38" s="1"/>
      <c r="L38" s="1"/>
      <c r="M38" s="1"/>
      <c r="N38" s="1"/>
      <c r="O38" s="2"/>
      <c r="P38" s="27"/>
      <c r="Q38" s="2"/>
      <c r="R38" s="16"/>
      <c r="T38" s="50"/>
      <c r="U38" s="1"/>
    </row>
    <row r="39" spans="3:23" ht="13.5" customHeight="1" thickBot="1">
      <c r="C39" s="2"/>
      <c r="D39" s="33" t="s">
        <v>0</v>
      </c>
      <c r="E39" s="2"/>
      <c r="F39" s="19"/>
      <c r="G39" s="27"/>
      <c r="H39" s="2"/>
      <c r="I39" s="33" t="s">
        <v>57</v>
      </c>
      <c r="J39" s="2"/>
      <c r="K39" s="21">
        <v>50.71</v>
      </c>
      <c r="L39" s="24"/>
      <c r="M39" s="21">
        <f t="shared" ref="M39" si="10">K39/3</f>
        <v>16.903333333333332</v>
      </c>
      <c r="N39" s="24"/>
      <c r="O39" s="102" t="s">
        <v>93</v>
      </c>
      <c r="P39" s="27"/>
      <c r="Q39" s="2"/>
      <c r="R39" s="18"/>
      <c r="T39" s="50"/>
      <c r="U39" s="24"/>
      <c r="V39" s="50"/>
    </row>
    <row r="40" spans="3:23" ht="5" customHeight="1" thickBot="1">
      <c r="C40" s="2"/>
      <c r="D40" s="32"/>
      <c r="E40" s="2"/>
      <c r="F40" s="1"/>
      <c r="G40" s="27"/>
      <c r="H40" s="2"/>
      <c r="I40" s="32"/>
      <c r="J40" s="2"/>
      <c r="K40" s="1"/>
      <c r="L40" s="1"/>
      <c r="M40" s="1"/>
      <c r="N40" s="1"/>
      <c r="O40" s="103"/>
      <c r="P40" s="27"/>
      <c r="Q40" s="2"/>
      <c r="R40" s="16"/>
      <c r="T40" s="50"/>
      <c r="U40" s="1"/>
    </row>
    <row r="41" spans="3:23" ht="15" thickBot="1">
      <c r="C41" s="2"/>
      <c r="D41" s="33" t="s">
        <v>80</v>
      </c>
      <c r="E41" s="2"/>
      <c r="F41" s="19"/>
      <c r="G41" s="27"/>
      <c r="I41" s="33" t="s">
        <v>58</v>
      </c>
      <c r="J41" s="2"/>
      <c r="K41" s="21">
        <v>52.91</v>
      </c>
      <c r="L41" s="24"/>
      <c r="M41" s="21">
        <f t="shared" ref="M41" si="11">K41/3</f>
        <v>17.636666666666667</v>
      </c>
      <c r="N41" s="24"/>
      <c r="O41" s="103"/>
      <c r="P41" s="27"/>
      <c r="Q41" s="2"/>
      <c r="R41" s="18"/>
      <c r="T41" s="50"/>
      <c r="U41" s="24"/>
      <c r="V41" s="50"/>
    </row>
    <row r="42" spans="3:23" ht="5" customHeight="1" thickBot="1">
      <c r="C42" s="2"/>
      <c r="D42" s="34"/>
      <c r="E42" s="35"/>
      <c r="F42" s="36"/>
      <c r="G42" s="37"/>
      <c r="I42" s="32" t="s">
        <v>85</v>
      </c>
      <c r="J42" s="2"/>
      <c r="K42" s="1"/>
      <c r="L42" s="1"/>
      <c r="M42" s="1"/>
      <c r="N42" s="1"/>
      <c r="O42" s="103"/>
      <c r="P42" s="27"/>
      <c r="Q42" s="2"/>
      <c r="R42" s="16"/>
      <c r="T42" s="50"/>
      <c r="U42" s="1"/>
    </row>
    <row r="43" spans="3:23" ht="15" thickBot="1">
      <c r="C43" s="2"/>
      <c r="I43" s="33" t="s">
        <v>59</v>
      </c>
      <c r="J43" s="2"/>
      <c r="K43" s="21">
        <v>55.12</v>
      </c>
      <c r="L43" s="24"/>
      <c r="M43" s="21">
        <f t="shared" ref="M43" si="12">K43/3</f>
        <v>18.373333333333331</v>
      </c>
      <c r="N43" s="24"/>
      <c r="O43" s="103"/>
      <c r="P43" s="27"/>
      <c r="Q43" s="2"/>
      <c r="R43" s="18"/>
      <c r="T43" s="50"/>
      <c r="U43" s="24"/>
      <c r="V43" s="50"/>
    </row>
    <row r="44" spans="3:23" ht="5" customHeight="1" thickBot="1">
      <c r="C44" s="2"/>
      <c r="I44" s="32"/>
      <c r="J44" s="2"/>
      <c r="K44" s="1"/>
      <c r="L44" s="1"/>
      <c r="M44" s="1"/>
      <c r="N44" s="1"/>
      <c r="O44" s="103"/>
      <c r="P44" s="27"/>
      <c r="Q44" s="2"/>
      <c r="R44" s="16"/>
      <c r="T44" s="50"/>
      <c r="U44" s="1"/>
    </row>
    <row r="45" spans="3:23" ht="15" thickBot="1">
      <c r="C45" s="2"/>
      <c r="I45" s="33" t="s">
        <v>60</v>
      </c>
      <c r="J45" s="2"/>
      <c r="K45" s="21">
        <v>61.73</v>
      </c>
      <c r="L45" s="24"/>
      <c r="M45" s="21">
        <f t="shared" ref="M45" si="13">K45/3</f>
        <v>20.576666666666664</v>
      </c>
      <c r="N45" s="24"/>
      <c r="O45" s="103"/>
      <c r="P45" s="27"/>
      <c r="Q45" s="2"/>
      <c r="R45" s="18"/>
      <c r="T45" s="50"/>
      <c r="U45" s="24"/>
      <c r="V45" s="50"/>
    </row>
    <row r="46" spans="3:23" ht="5" customHeight="1" thickBot="1">
      <c r="C46" s="2"/>
      <c r="I46" s="32" t="s">
        <v>85</v>
      </c>
      <c r="J46" s="2"/>
      <c r="K46" s="1"/>
      <c r="L46" s="1"/>
      <c r="M46" s="1"/>
      <c r="N46" s="1"/>
      <c r="O46" s="103"/>
      <c r="P46" s="27"/>
      <c r="Q46" s="2"/>
      <c r="R46" s="16"/>
      <c r="T46" s="50"/>
      <c r="U46" s="1"/>
    </row>
    <row r="47" spans="3:23" ht="15" thickBot="1">
      <c r="C47" s="2"/>
      <c r="I47" s="33" t="s">
        <v>61</v>
      </c>
      <c r="J47" s="2"/>
      <c r="K47" s="21">
        <v>70.55</v>
      </c>
      <c r="L47" s="24"/>
      <c r="M47" s="21">
        <f t="shared" ref="M47" si="14">K47/3</f>
        <v>23.516666666666666</v>
      </c>
      <c r="N47" s="24"/>
      <c r="O47" s="103"/>
      <c r="P47" s="27"/>
      <c r="Q47" s="2"/>
      <c r="R47" s="18"/>
      <c r="T47" s="50"/>
      <c r="U47" s="24"/>
      <c r="V47" s="50"/>
    </row>
    <row r="48" spans="3:23" ht="5" customHeight="1" thickBot="1">
      <c r="C48" s="2"/>
      <c r="I48" s="32"/>
      <c r="J48" s="2"/>
      <c r="K48" s="1"/>
      <c r="L48" s="1"/>
      <c r="M48" s="1"/>
      <c r="N48" s="1"/>
      <c r="O48" s="103"/>
      <c r="P48" s="27"/>
      <c r="Q48" s="2"/>
      <c r="R48" s="16"/>
      <c r="T48" s="50"/>
      <c r="U48" s="1"/>
    </row>
    <row r="49" spans="3:22" ht="15" thickBot="1">
      <c r="C49" s="2"/>
      <c r="D49" s="20"/>
      <c r="E49" s="2"/>
      <c r="F49" s="2"/>
      <c r="G49" s="2"/>
      <c r="I49" s="33" t="s">
        <v>62</v>
      </c>
      <c r="J49" s="2"/>
      <c r="K49" s="21">
        <v>83.78</v>
      </c>
      <c r="L49" s="24"/>
      <c r="M49" s="21">
        <f t="shared" ref="M49" si="15">K49/3</f>
        <v>27.926666666666666</v>
      </c>
      <c r="N49" s="24"/>
      <c r="O49" s="104"/>
      <c r="P49" s="27"/>
      <c r="Q49" s="2"/>
      <c r="R49" s="18"/>
      <c r="T49" s="50"/>
      <c r="U49" s="24"/>
      <c r="V49" s="50"/>
    </row>
    <row r="50" spans="3:22" ht="5" customHeight="1" thickBot="1">
      <c r="C50" s="2"/>
      <c r="D50" s="17"/>
      <c r="E50" s="2"/>
      <c r="F50" s="1"/>
      <c r="G50" s="2"/>
      <c r="I50" s="32" t="s">
        <v>85</v>
      </c>
      <c r="J50" s="2"/>
      <c r="K50" s="1"/>
      <c r="L50" s="1"/>
      <c r="M50" s="1"/>
      <c r="N50" s="1"/>
      <c r="O50" s="2"/>
      <c r="P50" s="27"/>
      <c r="Q50" s="2"/>
      <c r="R50" s="16"/>
      <c r="T50" s="50"/>
      <c r="U50" s="1"/>
    </row>
    <row r="51" spans="3:22" ht="13.5" customHeight="1" thickBot="1">
      <c r="C51" s="2"/>
      <c r="I51" s="33" t="s">
        <v>63</v>
      </c>
      <c r="J51" s="2"/>
      <c r="K51" s="21">
        <v>88.18</v>
      </c>
      <c r="L51" s="24"/>
      <c r="M51" s="21">
        <f t="shared" ref="M51" si="16">K51/3</f>
        <v>29.393333333333334</v>
      </c>
      <c r="N51" s="24"/>
      <c r="O51" s="102" t="s">
        <v>94</v>
      </c>
      <c r="P51" s="27"/>
      <c r="Q51" s="2"/>
      <c r="R51" s="18"/>
      <c r="T51" s="50"/>
      <c r="U51" s="24"/>
      <c r="V51" s="50"/>
    </row>
    <row r="52" spans="3:22" ht="5" customHeight="1" thickBot="1">
      <c r="C52" s="2"/>
      <c r="I52" s="32"/>
      <c r="J52" s="2"/>
      <c r="K52" s="1"/>
      <c r="L52" s="1"/>
      <c r="M52" s="1"/>
      <c r="N52" s="1"/>
      <c r="O52" s="103"/>
      <c r="P52" s="27"/>
      <c r="Q52" s="2"/>
      <c r="R52" s="16"/>
      <c r="T52" s="50"/>
      <c r="U52" s="1"/>
    </row>
    <row r="53" spans="3:22" ht="15" thickBot="1">
      <c r="C53" s="2"/>
      <c r="I53" s="33" t="s">
        <v>64</v>
      </c>
      <c r="J53" s="2"/>
      <c r="K53" s="21">
        <v>97</v>
      </c>
      <c r="L53" s="24"/>
      <c r="M53" s="21">
        <f t="shared" ref="M53" si="17">K53/3</f>
        <v>32.333333333333336</v>
      </c>
      <c r="N53" s="24"/>
      <c r="O53" s="103"/>
      <c r="P53" s="27"/>
      <c r="Q53" s="2"/>
      <c r="R53" s="18"/>
      <c r="T53" s="50"/>
      <c r="U53" s="24"/>
      <c r="V53" s="50"/>
    </row>
    <row r="54" spans="3:22" ht="5" customHeight="1" thickBot="1">
      <c r="C54" s="2"/>
      <c r="I54" s="32" t="s">
        <v>85</v>
      </c>
      <c r="J54" s="2"/>
      <c r="K54" s="1"/>
      <c r="L54" s="1"/>
      <c r="M54" s="1"/>
      <c r="N54" s="1"/>
      <c r="O54" s="103"/>
      <c r="P54" s="27"/>
      <c r="Q54" s="2"/>
      <c r="R54" s="16"/>
      <c r="T54" s="50"/>
      <c r="U54" s="1"/>
    </row>
    <row r="55" spans="3:22" ht="15" thickBot="1">
      <c r="C55" s="2"/>
      <c r="I55" s="33" t="s">
        <v>65</v>
      </c>
      <c r="J55" s="2"/>
      <c r="K55" s="21">
        <v>105.82</v>
      </c>
      <c r="L55" s="24"/>
      <c r="M55" s="21">
        <f t="shared" ref="M55" si="18">K55/3</f>
        <v>35.273333333333333</v>
      </c>
      <c r="N55" s="24"/>
      <c r="O55" s="103"/>
      <c r="P55" s="27"/>
      <c r="Q55" s="2"/>
      <c r="R55" s="18"/>
      <c r="T55" s="50"/>
      <c r="U55" s="24"/>
      <c r="V55" s="50"/>
    </row>
    <row r="56" spans="3:22" ht="5" customHeight="1" thickBot="1">
      <c r="C56" s="2"/>
      <c r="I56" s="32"/>
      <c r="J56" s="2"/>
      <c r="K56" s="1"/>
      <c r="L56" s="1"/>
      <c r="M56" s="1"/>
      <c r="N56" s="1"/>
      <c r="O56" s="103"/>
      <c r="P56" s="27"/>
      <c r="Q56" s="2"/>
      <c r="R56" s="16"/>
      <c r="T56" s="50"/>
      <c r="U56" s="1"/>
    </row>
    <row r="57" spans="3:22" ht="15" thickBot="1">
      <c r="C57" s="2"/>
      <c r="I57" s="33" t="s">
        <v>66</v>
      </c>
      <c r="J57" s="2"/>
      <c r="K57" s="21">
        <v>110.23</v>
      </c>
      <c r="L57" s="24"/>
      <c r="M57" s="21">
        <f t="shared" ref="M57" si="19">K57/3</f>
        <v>36.743333333333332</v>
      </c>
      <c r="N57" s="24"/>
      <c r="O57" s="103"/>
      <c r="P57" s="27"/>
      <c r="Q57" s="2"/>
      <c r="R57" s="18"/>
      <c r="T57" s="50"/>
      <c r="U57" s="24"/>
      <c r="V57" s="50"/>
    </row>
    <row r="58" spans="3:22" ht="5" customHeight="1" thickBot="1">
      <c r="C58" s="2"/>
      <c r="I58" s="32" t="s">
        <v>85</v>
      </c>
      <c r="J58" s="2"/>
      <c r="K58" s="1"/>
      <c r="L58" s="1"/>
      <c r="M58" s="1"/>
      <c r="N58" s="1"/>
      <c r="O58" s="103"/>
      <c r="P58" s="27"/>
      <c r="Q58" s="2"/>
      <c r="R58" s="16"/>
      <c r="T58" s="50"/>
      <c r="U58" s="1"/>
    </row>
    <row r="59" spans="3:22" ht="15" thickBot="1">
      <c r="C59" s="2"/>
      <c r="I59" s="33" t="s">
        <v>67</v>
      </c>
      <c r="J59" s="2"/>
      <c r="K59" s="21">
        <v>121.25</v>
      </c>
      <c r="L59" s="24"/>
      <c r="M59" s="21">
        <f t="shared" ref="M59" si="20">K59/3</f>
        <v>40.416666666666664</v>
      </c>
      <c r="N59" s="24"/>
      <c r="O59" s="103"/>
      <c r="P59" s="27"/>
      <c r="Q59" s="2"/>
      <c r="R59" s="18"/>
      <c r="T59" s="50"/>
      <c r="U59" s="24"/>
      <c r="V59" s="50"/>
    </row>
    <row r="60" spans="3:22" ht="5" customHeight="1" thickBot="1">
      <c r="C60" s="2"/>
      <c r="I60" s="32"/>
      <c r="J60" s="2"/>
      <c r="K60" s="1"/>
      <c r="L60" s="1"/>
      <c r="M60" s="1"/>
      <c r="N60" s="1"/>
      <c r="O60" s="103"/>
      <c r="P60" s="27"/>
      <c r="Q60" s="2"/>
      <c r="R60" s="16"/>
      <c r="T60" s="50"/>
      <c r="U60" s="1"/>
    </row>
    <row r="61" spans="3:22" ht="15" thickBot="1">
      <c r="C61" s="2"/>
      <c r="I61" s="33" t="s">
        <v>68</v>
      </c>
      <c r="J61" s="2"/>
      <c r="K61" s="21">
        <v>132.28</v>
      </c>
      <c r="L61" s="24"/>
      <c r="M61" s="21">
        <f t="shared" ref="M61" si="21">K61/3</f>
        <v>44.093333333333334</v>
      </c>
      <c r="N61" s="24"/>
      <c r="O61" s="103"/>
      <c r="P61" s="27"/>
      <c r="Q61" s="2"/>
      <c r="R61" s="18"/>
      <c r="T61" s="50"/>
      <c r="U61" s="24"/>
      <c r="V61" s="50"/>
    </row>
    <row r="62" spans="3:22" ht="5" customHeight="1" thickBot="1">
      <c r="C62" s="2"/>
      <c r="I62" s="32" t="s">
        <v>85</v>
      </c>
      <c r="J62" s="2"/>
      <c r="K62" s="1"/>
      <c r="L62" s="1"/>
      <c r="M62" s="1"/>
      <c r="N62" s="1"/>
      <c r="O62" s="103"/>
      <c r="P62" s="27"/>
      <c r="Q62" s="2"/>
      <c r="R62" s="16"/>
      <c r="T62" s="50"/>
      <c r="U62" s="1"/>
    </row>
    <row r="63" spans="3:22" ht="15" thickBot="1">
      <c r="C63" s="2"/>
      <c r="I63" s="33" t="s">
        <v>69</v>
      </c>
      <c r="J63" s="2"/>
      <c r="K63" s="21">
        <v>138.88999999999999</v>
      </c>
      <c r="L63" s="24"/>
      <c r="M63" s="21">
        <f t="shared" ref="M63" si="22">K63/3</f>
        <v>46.29666666666666</v>
      </c>
      <c r="N63" s="24"/>
      <c r="O63" s="103"/>
      <c r="P63" s="27"/>
      <c r="Q63" s="2"/>
      <c r="R63" s="18"/>
      <c r="T63" s="50"/>
      <c r="U63" s="24"/>
      <c r="V63" s="50"/>
    </row>
    <row r="64" spans="3:22" ht="5" customHeight="1" thickBot="1">
      <c r="C64" s="2"/>
      <c r="I64" s="32"/>
      <c r="J64" s="2"/>
      <c r="K64" s="1"/>
      <c r="L64" s="1"/>
      <c r="M64" s="1"/>
      <c r="N64" s="1"/>
      <c r="O64" s="103"/>
      <c r="P64" s="27"/>
      <c r="Q64" s="2"/>
      <c r="R64" s="16"/>
      <c r="T64" s="50"/>
      <c r="U64" s="1"/>
    </row>
    <row r="65" spans="3:22" ht="15" thickBot="1">
      <c r="C65" s="2"/>
      <c r="I65" s="33" t="s">
        <v>70</v>
      </c>
      <c r="J65" s="2"/>
      <c r="K65" s="21">
        <v>143.30000000000001</v>
      </c>
      <c r="L65" s="24"/>
      <c r="M65" s="21">
        <f t="shared" ref="M65" si="23">K65/3</f>
        <v>47.766666666666673</v>
      </c>
      <c r="N65" s="24"/>
      <c r="O65" s="103"/>
      <c r="P65" s="27"/>
      <c r="Q65" s="2"/>
      <c r="R65" s="18"/>
      <c r="T65" s="50"/>
      <c r="U65" s="24"/>
      <c r="V65" s="50"/>
    </row>
    <row r="66" spans="3:22" ht="5" customHeight="1" thickBot="1">
      <c r="C66" s="2"/>
      <c r="I66" s="32" t="s">
        <v>85</v>
      </c>
      <c r="J66" s="2"/>
      <c r="K66" s="1"/>
      <c r="L66" s="1"/>
      <c r="M66" s="1"/>
      <c r="N66" s="1"/>
      <c r="O66" s="103"/>
      <c r="P66" s="27"/>
      <c r="Q66" s="2"/>
      <c r="R66" s="16"/>
      <c r="T66" s="50"/>
      <c r="U66" s="1"/>
    </row>
    <row r="67" spans="3:22" ht="15" thickBot="1">
      <c r="C67" s="2"/>
      <c r="I67" s="33" t="s">
        <v>71</v>
      </c>
      <c r="J67" s="2"/>
      <c r="K67" s="21">
        <v>154.32</v>
      </c>
      <c r="L67" s="24"/>
      <c r="M67" s="21">
        <f t="shared" ref="M67" si="24">K67/3</f>
        <v>51.44</v>
      </c>
      <c r="N67" s="24"/>
      <c r="O67" s="103"/>
      <c r="P67" s="27"/>
      <c r="Q67" s="2"/>
      <c r="R67" s="18"/>
      <c r="T67" s="50"/>
      <c r="U67" s="24"/>
      <c r="V67" s="50"/>
    </row>
    <row r="68" spans="3:22" ht="5" customHeight="1" thickBot="1">
      <c r="C68" s="2"/>
      <c r="I68" s="32"/>
      <c r="J68" s="2"/>
      <c r="K68" s="1"/>
      <c r="L68" s="1"/>
      <c r="M68" s="1"/>
      <c r="N68" s="1"/>
      <c r="O68" s="103"/>
      <c r="P68" s="27"/>
      <c r="Q68" s="2"/>
      <c r="R68" s="16"/>
      <c r="T68" s="50"/>
      <c r="U68" s="1"/>
    </row>
    <row r="69" spans="3:22" ht="15" thickBot="1">
      <c r="C69" s="2"/>
      <c r="I69" s="33" t="s">
        <v>88</v>
      </c>
      <c r="J69" s="2"/>
      <c r="K69" s="21">
        <v>165.35</v>
      </c>
      <c r="L69" s="24"/>
      <c r="M69" s="21">
        <f t="shared" ref="M69" si="25">K69/3</f>
        <v>55.116666666666667</v>
      </c>
      <c r="N69" s="24"/>
      <c r="O69" s="104"/>
      <c r="P69" s="27"/>
      <c r="Q69" s="2"/>
      <c r="R69" s="18"/>
      <c r="T69" s="50"/>
      <c r="U69" s="24"/>
      <c r="V69" s="50"/>
    </row>
    <row r="70" spans="3:22" ht="5" customHeight="1" thickBot="1">
      <c r="C70" s="2"/>
      <c r="I70" s="39"/>
      <c r="J70" s="35"/>
      <c r="K70" s="36"/>
      <c r="L70" s="36"/>
      <c r="M70" s="36"/>
      <c r="N70" s="36"/>
      <c r="O70" s="35"/>
      <c r="P70" s="37"/>
      <c r="Q70" s="2"/>
      <c r="R70" s="16"/>
      <c r="T70" s="50"/>
      <c r="U70" s="1"/>
    </row>
    <row r="71" spans="3:22" ht="14">
      <c r="C71" s="2"/>
      <c r="T71" s="50"/>
    </row>
    <row r="72" spans="3:22" ht="5" customHeight="1">
      <c r="C72" s="2"/>
      <c r="T72" s="50"/>
    </row>
    <row r="73" spans="3:22" ht="14">
      <c r="C73" s="2"/>
      <c r="T73" s="50"/>
    </row>
    <row r="74" spans="3:22" ht="5" customHeight="1">
      <c r="C74" s="2"/>
      <c r="T74" s="50"/>
    </row>
    <row r="75" spans="3:22" ht="14">
      <c r="C75" s="2"/>
      <c r="T75" s="50"/>
    </row>
    <row r="76" spans="3:22" ht="5" customHeight="1">
      <c r="C76" s="2"/>
      <c r="T76" s="50"/>
    </row>
    <row r="77" spans="3:22" ht="14">
      <c r="C77" s="2"/>
      <c r="T77" s="50"/>
    </row>
    <row r="78" spans="3:22" ht="5" customHeight="1">
      <c r="C78" s="2"/>
      <c r="T78" s="50"/>
    </row>
    <row r="79" spans="3:22" ht="14">
      <c r="C79" s="2"/>
      <c r="T79" s="50"/>
    </row>
    <row r="80" spans="3:22" ht="5" customHeight="1">
      <c r="C80" s="2"/>
      <c r="T80" s="50"/>
    </row>
    <row r="81" spans="3:20" ht="14">
      <c r="C81" s="2"/>
      <c r="T81" s="50"/>
    </row>
    <row r="82" spans="3:20" ht="5" customHeight="1">
      <c r="C82" s="2"/>
      <c r="T82" s="50"/>
    </row>
    <row r="83" spans="3:20" ht="14">
      <c r="C83" s="2"/>
      <c r="T83" s="50"/>
    </row>
    <row r="84" spans="3:20" ht="5" customHeight="1">
      <c r="C84" s="2"/>
      <c r="T84" s="50"/>
    </row>
    <row r="85" spans="3:20" ht="14">
      <c r="C85" s="2"/>
      <c r="T85" s="50"/>
    </row>
    <row r="86" spans="3:20" ht="5" customHeight="1">
      <c r="C86" s="2"/>
      <c r="T86" s="50"/>
    </row>
    <row r="87" spans="3:20" ht="14">
      <c r="C87" s="2"/>
      <c r="T87" s="50"/>
    </row>
    <row r="88" spans="3:20" ht="5" customHeight="1">
      <c r="C88" s="2"/>
      <c r="T88" s="50"/>
    </row>
    <row r="89" spans="3:20" ht="14">
      <c r="C89" s="2"/>
      <c r="T89" s="50"/>
    </row>
    <row r="90" spans="3:20" ht="5" customHeight="1">
      <c r="C90" s="2"/>
      <c r="T90" s="50"/>
    </row>
    <row r="91" spans="3:20" ht="14">
      <c r="C91" s="2"/>
      <c r="T91" s="50"/>
    </row>
    <row r="92" spans="3:20" ht="5" customHeight="1">
      <c r="C92" s="2"/>
      <c r="T92" s="50"/>
    </row>
    <row r="93" spans="3:20" ht="14">
      <c r="C93" s="2"/>
      <c r="T93" s="50"/>
    </row>
    <row r="94" spans="3:20" ht="14">
      <c r="T94" s="50"/>
    </row>
    <row r="95" spans="3:20" ht="14">
      <c r="T95" s="50"/>
    </row>
    <row r="98" spans="4:4" ht="14">
      <c r="D98" s="16"/>
    </row>
    <row r="99" spans="4:4" ht="14">
      <c r="D99" s="18"/>
    </row>
    <row r="100" spans="4:4" ht="14">
      <c r="D100" s="16"/>
    </row>
    <row r="101" spans="4:4" ht="14">
      <c r="D101" s="18"/>
    </row>
    <row r="102" spans="4:4" ht="14">
      <c r="D102" s="16"/>
    </row>
    <row r="103" spans="4:4" ht="14">
      <c r="D103" s="18"/>
    </row>
  </sheetData>
  <mergeCells count="8">
    <mergeCell ref="O39:O49"/>
    <mergeCell ref="O51:O69"/>
    <mergeCell ref="R14:V14"/>
    <mergeCell ref="D11:K11"/>
    <mergeCell ref="D14:F14"/>
    <mergeCell ref="I14:O14"/>
    <mergeCell ref="O19:O27"/>
    <mergeCell ref="O29:O3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M55"/>
  <sheetViews>
    <sheetView showGridLines="0" zoomScale="125" zoomScaleNormal="125" zoomScalePageLayoutView="125" workbookViewId="0"/>
  </sheetViews>
  <sheetFormatPr baseColWidth="10" defaultRowHeight="12" x14ac:dyDescent="0"/>
  <cols>
    <col min="1" max="3" width="10.83203125" style="4"/>
    <col min="4" max="4" width="39.1640625" style="4" bestFit="1" customWidth="1"/>
    <col min="5" max="5" width="17" style="4" customWidth="1"/>
    <col min="6" max="6" width="13.6640625" style="4" customWidth="1"/>
    <col min="7" max="7" width="11.6640625" style="4" bestFit="1" customWidth="1"/>
    <col min="8" max="8" width="15" style="4" bestFit="1" customWidth="1"/>
    <col min="9" max="9" width="5.6640625" style="4" customWidth="1"/>
    <col min="10" max="10" width="28.1640625" style="4" bestFit="1" customWidth="1"/>
    <col min="11" max="11" width="9.33203125" style="4" bestFit="1" customWidth="1"/>
    <col min="12" max="12" width="11" style="4" customWidth="1"/>
    <col min="13" max="13" width="11.83203125" style="4" bestFit="1" customWidth="1"/>
    <col min="14" max="16384" width="10.83203125" style="4"/>
  </cols>
  <sheetData>
    <row r="9" spans="4:13" ht="46.5" customHeight="1">
      <c r="D9" s="96" t="s">
        <v>41</v>
      </c>
      <c r="E9" s="96"/>
      <c r="F9" s="96"/>
      <c r="G9" s="96"/>
      <c r="J9" s="96" t="s">
        <v>42</v>
      </c>
      <c r="K9" s="96"/>
      <c r="L9" s="96"/>
      <c r="M9" s="96"/>
    </row>
    <row r="10" spans="4:13" ht="15" customHeight="1"/>
    <row r="11" spans="4:13" ht="16" customHeight="1">
      <c r="D11" s="105" t="s">
        <v>39</v>
      </c>
      <c r="E11" s="105"/>
      <c r="F11" s="105"/>
      <c r="G11" s="105"/>
      <c r="J11" s="105" t="s">
        <v>16</v>
      </c>
      <c r="K11" s="105"/>
      <c r="L11" s="105"/>
      <c r="M11" s="105"/>
    </row>
    <row r="12" spans="4:13" ht="26.25" customHeight="1">
      <c r="D12" s="5" t="s">
        <v>0</v>
      </c>
      <c r="E12" s="5" t="s">
        <v>1</v>
      </c>
      <c r="F12" s="5" t="s">
        <v>2</v>
      </c>
      <c r="G12" s="5" t="s">
        <v>3</v>
      </c>
      <c r="J12" s="5" t="s">
        <v>0</v>
      </c>
      <c r="K12" s="5" t="s">
        <v>1</v>
      </c>
      <c r="L12" s="5" t="s">
        <v>2</v>
      </c>
      <c r="M12" s="5" t="s">
        <v>3</v>
      </c>
    </row>
    <row r="13" spans="4:13" ht="13" customHeight="1">
      <c r="D13" s="6" t="s">
        <v>4</v>
      </c>
      <c r="E13" s="7">
        <v>24.5</v>
      </c>
      <c r="F13" s="8">
        <v>4</v>
      </c>
      <c r="G13" s="7">
        <v>98</v>
      </c>
      <c r="J13" s="6" t="s">
        <v>117</v>
      </c>
      <c r="K13" s="7">
        <v>8</v>
      </c>
      <c r="L13" s="8">
        <v>50</v>
      </c>
      <c r="M13" s="7">
        <f>(K13*L13)</f>
        <v>400</v>
      </c>
    </row>
    <row r="14" spans="4:13" ht="13" customHeight="1">
      <c r="D14" s="6" t="s">
        <v>5</v>
      </c>
      <c r="E14" s="7">
        <v>2</v>
      </c>
      <c r="F14" s="8">
        <v>4</v>
      </c>
      <c r="G14" s="7">
        <v>8</v>
      </c>
      <c r="J14" s="6" t="s">
        <v>118</v>
      </c>
      <c r="K14" s="7">
        <v>3</v>
      </c>
      <c r="L14" s="8">
        <v>15</v>
      </c>
      <c r="M14" s="7">
        <f>(K14*L14)</f>
        <v>45</v>
      </c>
    </row>
    <row r="15" spans="4:13" ht="13" customHeight="1">
      <c r="D15" s="6" t="s">
        <v>6</v>
      </c>
      <c r="E15" s="7">
        <v>5.6</v>
      </c>
      <c r="F15" s="8">
        <v>5</v>
      </c>
      <c r="G15" s="7">
        <v>28</v>
      </c>
      <c r="J15" s="6" t="s">
        <v>119</v>
      </c>
      <c r="K15" s="7">
        <v>15</v>
      </c>
      <c r="L15" s="8">
        <v>5</v>
      </c>
      <c r="M15" s="7">
        <f t="shared" ref="M15:M19" si="0">(K15*L15)</f>
        <v>75</v>
      </c>
    </row>
    <row r="16" spans="4:13" ht="13" customHeight="1">
      <c r="D16" s="6" t="s">
        <v>7</v>
      </c>
      <c r="E16" s="7">
        <v>2.75</v>
      </c>
      <c r="F16" s="8">
        <v>4</v>
      </c>
      <c r="G16" s="7">
        <v>11</v>
      </c>
      <c r="J16" s="6" t="s">
        <v>120</v>
      </c>
      <c r="K16" s="7">
        <v>0.2</v>
      </c>
      <c r="L16" s="8">
        <v>1000</v>
      </c>
      <c r="M16" s="7">
        <f t="shared" si="0"/>
        <v>200</v>
      </c>
    </row>
    <row r="17" spans="4:13" ht="13" customHeight="1">
      <c r="D17" s="6" t="s">
        <v>8</v>
      </c>
      <c r="E17" s="7">
        <v>5.13</v>
      </c>
      <c r="F17" s="8">
        <v>4</v>
      </c>
      <c r="G17" s="7">
        <v>20.5</v>
      </c>
      <c r="J17" s="6" t="s">
        <v>121</v>
      </c>
      <c r="K17" s="7">
        <v>75</v>
      </c>
      <c r="L17" s="8">
        <v>3</v>
      </c>
      <c r="M17" s="7">
        <f t="shared" si="0"/>
        <v>225</v>
      </c>
    </row>
    <row r="18" spans="4:13" ht="13" customHeight="1">
      <c r="D18" s="6" t="s">
        <v>9</v>
      </c>
      <c r="E18" s="7">
        <v>5.25</v>
      </c>
      <c r="F18" s="8">
        <v>4</v>
      </c>
      <c r="G18" s="7">
        <v>21</v>
      </c>
      <c r="J18" s="6" t="s">
        <v>122</v>
      </c>
      <c r="K18" s="7">
        <v>800</v>
      </c>
      <c r="L18" s="8">
        <v>1</v>
      </c>
      <c r="M18" s="7">
        <f t="shared" si="0"/>
        <v>800</v>
      </c>
    </row>
    <row r="19" spans="4:13" ht="13" customHeight="1">
      <c r="D19" s="6" t="s">
        <v>10</v>
      </c>
      <c r="E19" s="7">
        <v>4.43</v>
      </c>
      <c r="F19" s="8">
        <v>7</v>
      </c>
      <c r="G19" s="7">
        <v>31</v>
      </c>
      <c r="J19" s="6" t="s">
        <v>123</v>
      </c>
      <c r="K19" s="7">
        <v>150</v>
      </c>
      <c r="L19" s="8">
        <v>5</v>
      </c>
      <c r="M19" s="7">
        <f t="shared" si="0"/>
        <v>750</v>
      </c>
    </row>
    <row r="20" spans="4:13" ht="13" customHeight="1">
      <c r="D20" s="6" t="s">
        <v>11</v>
      </c>
      <c r="E20" s="7">
        <v>11.75</v>
      </c>
      <c r="F20" s="8">
        <v>10</v>
      </c>
      <c r="G20" s="7">
        <v>117.5</v>
      </c>
      <c r="J20" s="6" t="s">
        <v>129</v>
      </c>
      <c r="K20" s="7">
        <v>100</v>
      </c>
      <c r="L20" s="8">
        <v>0.1</v>
      </c>
      <c r="M20" s="7">
        <f>(K20*L20)</f>
        <v>10</v>
      </c>
    </row>
    <row r="21" spans="4:13" ht="13" customHeight="1">
      <c r="D21" s="6" t="s">
        <v>12</v>
      </c>
      <c r="E21" s="7">
        <v>36.630000000000003</v>
      </c>
      <c r="F21" s="8">
        <v>6</v>
      </c>
      <c r="G21" s="7">
        <v>219.77</v>
      </c>
      <c r="J21" s="6" t="s">
        <v>124</v>
      </c>
      <c r="K21" s="7">
        <v>400</v>
      </c>
      <c r="L21" s="8">
        <v>6</v>
      </c>
      <c r="M21" s="7">
        <f>(K21*L21)</f>
        <v>2400</v>
      </c>
    </row>
    <row r="22" spans="4:13" ht="13" customHeight="1">
      <c r="D22" s="6" t="s">
        <v>13</v>
      </c>
      <c r="E22" s="7">
        <v>30.52</v>
      </c>
      <c r="F22" s="8">
        <v>30</v>
      </c>
      <c r="G22" s="7">
        <v>915.7</v>
      </c>
      <c r="J22" s="9" t="s">
        <v>125</v>
      </c>
      <c r="K22" s="9"/>
      <c r="L22" s="9"/>
      <c r="M22" s="10">
        <f>SUM(M13:M21)</f>
        <v>4905</v>
      </c>
    </row>
    <row r="23" spans="4:13" ht="13" customHeight="1">
      <c r="D23" s="6" t="s">
        <v>14</v>
      </c>
      <c r="E23" s="7">
        <v>2.33</v>
      </c>
      <c r="F23" s="8">
        <v>50</v>
      </c>
      <c r="G23" s="7">
        <v>116.3</v>
      </c>
    </row>
    <row r="24" spans="4:13" ht="13" customHeight="1">
      <c r="D24" s="6" t="str">
        <f>+Inputs!R17</f>
        <v>Certificacion y manejo forestal del bosque</v>
      </c>
      <c r="E24" s="7">
        <f>+Inputs!T17*13</f>
        <v>1.95</v>
      </c>
      <c r="F24" s="8">
        <v>1</v>
      </c>
      <c r="G24" s="7">
        <v>116.3</v>
      </c>
    </row>
    <row r="25" spans="4:13" ht="16" customHeight="1">
      <c r="D25" s="9" t="s">
        <v>19</v>
      </c>
      <c r="E25" s="9"/>
      <c r="F25" s="9"/>
      <c r="G25" s="10">
        <f>SUM(G13:G24)</f>
        <v>1703.07</v>
      </c>
    </row>
    <row r="26" spans="4:13" ht="15" customHeight="1"/>
    <row r="27" spans="4:13" ht="16" customHeight="1">
      <c r="D27" s="105" t="s">
        <v>43</v>
      </c>
      <c r="E27" s="105"/>
      <c r="F27" s="105"/>
      <c r="G27" s="105"/>
      <c r="J27" s="105" t="s">
        <v>131</v>
      </c>
      <c r="K27" s="105">
        <v>100</v>
      </c>
      <c r="L27" s="105">
        <v>5.17</v>
      </c>
      <c r="M27" s="105">
        <f>(K27*L27)</f>
        <v>517</v>
      </c>
    </row>
    <row r="28" spans="4:13" ht="33.75" customHeight="1">
      <c r="D28" s="5" t="s">
        <v>21</v>
      </c>
      <c r="E28" s="5" t="s">
        <v>20</v>
      </c>
      <c r="F28" s="5" t="s">
        <v>22</v>
      </c>
      <c r="G28" s="5" t="s">
        <v>3</v>
      </c>
      <c r="J28" s="5" t="s">
        <v>21</v>
      </c>
      <c r="K28" s="5" t="s">
        <v>20</v>
      </c>
      <c r="L28" s="5" t="s">
        <v>132</v>
      </c>
      <c r="M28" s="5" t="s">
        <v>3</v>
      </c>
    </row>
    <row r="29" spans="4:13" ht="13" customHeight="1">
      <c r="D29" s="6" t="s">
        <v>23</v>
      </c>
      <c r="E29" s="8">
        <v>5</v>
      </c>
      <c r="F29" s="7">
        <f>+Inputs!T31</f>
        <v>50</v>
      </c>
      <c r="G29" s="7">
        <f>+E29*F29</f>
        <v>250</v>
      </c>
      <c r="J29" s="6" t="s">
        <v>126</v>
      </c>
      <c r="K29" s="7">
        <v>25</v>
      </c>
      <c r="L29" s="8">
        <v>5.17</v>
      </c>
      <c r="M29" s="7">
        <f>(K29*L29)</f>
        <v>129.25</v>
      </c>
    </row>
    <row r="30" spans="4:13" ht="13" customHeight="1">
      <c r="D30" s="6" t="s">
        <v>24</v>
      </c>
      <c r="E30" s="8">
        <v>3</v>
      </c>
      <c r="F30" s="7">
        <f>+F29</f>
        <v>50</v>
      </c>
      <c r="G30" s="7">
        <f t="shared" ref="G30:G44" si="1">+E30*F30</f>
        <v>150</v>
      </c>
      <c r="J30" s="6" t="s">
        <v>127</v>
      </c>
      <c r="K30" s="7">
        <v>50</v>
      </c>
      <c r="L30" s="8">
        <v>5.17</v>
      </c>
      <c r="M30" s="7">
        <f t="shared" ref="M30:M31" si="2">(K30*L30)</f>
        <v>258.5</v>
      </c>
    </row>
    <row r="31" spans="4:13" ht="13" customHeight="1">
      <c r="D31" s="6" t="s">
        <v>25</v>
      </c>
      <c r="E31" s="8">
        <v>18</v>
      </c>
      <c r="F31" s="7">
        <f t="shared" ref="F31:F44" si="3">+F30</f>
        <v>50</v>
      </c>
      <c r="G31" s="7">
        <f t="shared" si="1"/>
        <v>900</v>
      </c>
      <c r="J31" s="6" t="s">
        <v>128</v>
      </c>
      <c r="K31" s="7">
        <v>10</v>
      </c>
      <c r="L31" s="8">
        <v>5.17</v>
      </c>
      <c r="M31" s="7">
        <f t="shared" si="2"/>
        <v>51.7</v>
      </c>
    </row>
    <row r="32" spans="4:13" ht="13" customHeight="1">
      <c r="D32" s="6" t="s">
        <v>26</v>
      </c>
      <c r="E32" s="8">
        <v>12</v>
      </c>
      <c r="F32" s="7">
        <f t="shared" si="3"/>
        <v>50</v>
      </c>
      <c r="G32" s="7">
        <f t="shared" si="1"/>
        <v>600</v>
      </c>
      <c r="J32" s="9" t="s">
        <v>130</v>
      </c>
      <c r="K32" s="9"/>
      <c r="L32" s="9"/>
      <c r="M32" s="10">
        <f>SUM(M29:M31)</f>
        <v>439.45</v>
      </c>
    </row>
    <row r="33" spans="4:13" ht="13" customHeight="1">
      <c r="D33" s="6" t="s">
        <v>27</v>
      </c>
      <c r="E33" s="8">
        <v>6</v>
      </c>
      <c r="F33" s="7">
        <f t="shared" si="3"/>
        <v>50</v>
      </c>
      <c r="G33" s="7">
        <f t="shared" si="1"/>
        <v>300</v>
      </c>
    </row>
    <row r="34" spans="4:13" ht="13" customHeight="1">
      <c r="D34" s="6" t="s">
        <v>28</v>
      </c>
      <c r="E34" s="8">
        <v>6</v>
      </c>
      <c r="F34" s="7">
        <f t="shared" si="3"/>
        <v>50</v>
      </c>
      <c r="G34" s="7">
        <f t="shared" si="1"/>
        <v>300</v>
      </c>
    </row>
    <row r="35" spans="4:13" ht="13" customHeight="1">
      <c r="D35" s="6" t="s">
        <v>29</v>
      </c>
      <c r="E35" s="8">
        <v>80</v>
      </c>
      <c r="F35" s="7">
        <f t="shared" si="3"/>
        <v>50</v>
      </c>
      <c r="G35" s="7">
        <f t="shared" si="1"/>
        <v>4000</v>
      </c>
      <c r="J35" s="9" t="s">
        <v>133</v>
      </c>
      <c r="K35" s="9"/>
      <c r="L35" s="9"/>
      <c r="M35" s="10">
        <f>+M32+M22</f>
        <v>5344.45</v>
      </c>
    </row>
    <row r="36" spans="4:13" ht="13" customHeight="1">
      <c r="D36" s="6" t="s">
        <v>30</v>
      </c>
      <c r="E36" s="8">
        <v>80</v>
      </c>
      <c r="F36" s="7">
        <f t="shared" si="3"/>
        <v>50</v>
      </c>
      <c r="G36" s="7">
        <f t="shared" si="1"/>
        <v>4000</v>
      </c>
    </row>
    <row r="37" spans="4:13" ht="13" customHeight="1">
      <c r="D37" s="6" t="s">
        <v>31</v>
      </c>
      <c r="E37" s="8">
        <v>39</v>
      </c>
      <c r="F37" s="7">
        <f t="shared" si="3"/>
        <v>50</v>
      </c>
      <c r="G37" s="7">
        <f t="shared" si="1"/>
        <v>1950</v>
      </c>
    </row>
    <row r="38" spans="4:13" ht="13" customHeight="1">
      <c r="D38" s="6" t="s">
        <v>32</v>
      </c>
      <c r="E38" s="8">
        <v>12</v>
      </c>
      <c r="F38" s="7">
        <f t="shared" si="3"/>
        <v>50</v>
      </c>
      <c r="G38" s="7">
        <f t="shared" si="1"/>
        <v>600</v>
      </c>
    </row>
    <row r="39" spans="4:13" ht="13" customHeight="1">
      <c r="D39" s="6" t="s">
        <v>33</v>
      </c>
      <c r="E39" s="8">
        <v>9</v>
      </c>
      <c r="F39" s="7">
        <f t="shared" si="3"/>
        <v>50</v>
      </c>
      <c r="G39" s="7">
        <f t="shared" si="1"/>
        <v>450</v>
      </c>
    </row>
    <row r="40" spans="4:13" ht="13" customHeight="1">
      <c r="D40" s="6" t="s">
        <v>34</v>
      </c>
      <c r="E40" s="8">
        <v>6</v>
      </c>
      <c r="F40" s="7">
        <f t="shared" si="3"/>
        <v>50</v>
      </c>
      <c r="G40" s="7">
        <f t="shared" si="1"/>
        <v>300</v>
      </c>
    </row>
    <row r="41" spans="4:13" ht="13" customHeight="1">
      <c r="D41" s="6" t="s">
        <v>35</v>
      </c>
      <c r="E41" s="8">
        <v>6</v>
      </c>
      <c r="F41" s="7">
        <f t="shared" si="3"/>
        <v>50</v>
      </c>
      <c r="G41" s="7">
        <f t="shared" si="1"/>
        <v>300</v>
      </c>
    </row>
    <row r="42" spans="4:13" ht="13" customHeight="1">
      <c r="D42" s="6" t="s">
        <v>36</v>
      </c>
      <c r="E42" s="8">
        <v>12</v>
      </c>
      <c r="F42" s="7">
        <f t="shared" si="3"/>
        <v>50</v>
      </c>
      <c r="G42" s="7">
        <f t="shared" si="1"/>
        <v>600</v>
      </c>
    </row>
    <row r="43" spans="4:13" ht="13" customHeight="1">
      <c r="D43" s="6" t="s">
        <v>37</v>
      </c>
      <c r="E43" s="8">
        <v>90</v>
      </c>
      <c r="F43" s="7">
        <f t="shared" si="3"/>
        <v>50</v>
      </c>
      <c r="G43" s="7">
        <f t="shared" si="1"/>
        <v>4500</v>
      </c>
    </row>
    <row r="44" spans="4:13" ht="13" customHeight="1">
      <c r="D44" s="6" t="s">
        <v>38</v>
      </c>
      <c r="E44" s="8">
        <v>0</v>
      </c>
      <c r="F44" s="7">
        <f t="shared" si="3"/>
        <v>50</v>
      </c>
      <c r="G44" s="7">
        <f t="shared" si="1"/>
        <v>0</v>
      </c>
    </row>
    <row r="45" spans="4:13" ht="16" customHeight="1">
      <c r="D45" s="9" t="s">
        <v>40</v>
      </c>
      <c r="E45" s="11">
        <f>SUM(E29:E44)</f>
        <v>384</v>
      </c>
      <c r="F45" s="10">
        <f>F29</f>
        <v>50</v>
      </c>
      <c r="G45" s="10">
        <f>SUM(G29:G44)</f>
        <v>19200</v>
      </c>
    </row>
    <row r="47" spans="4:13" ht="16" customHeight="1">
      <c r="D47" s="9" t="s">
        <v>15</v>
      </c>
      <c r="E47" s="9"/>
      <c r="F47" s="9"/>
      <c r="G47" s="10">
        <f>+G45+G25</f>
        <v>20903.07</v>
      </c>
    </row>
    <row r="49" spans="4:7" ht="15.75" customHeight="1">
      <c r="D49" s="105" t="s">
        <v>44</v>
      </c>
      <c r="E49" s="105"/>
      <c r="F49" s="105"/>
      <c r="G49" s="10"/>
    </row>
    <row r="50" spans="4:7" ht="36" customHeight="1">
      <c r="D50" s="5" t="s">
        <v>21</v>
      </c>
      <c r="E50" s="5" t="s">
        <v>20</v>
      </c>
      <c r="F50" s="5" t="s">
        <v>22</v>
      </c>
      <c r="G50" s="5" t="s">
        <v>3</v>
      </c>
    </row>
    <row r="51" spans="4:7" ht="13" customHeight="1">
      <c r="D51" s="6" t="s">
        <v>31</v>
      </c>
      <c r="E51" s="8">
        <v>39</v>
      </c>
      <c r="F51" s="7">
        <f>+Inputs!T31</f>
        <v>50</v>
      </c>
      <c r="G51" s="7">
        <f>+E51*F51</f>
        <v>1950</v>
      </c>
    </row>
    <row r="52" spans="4:7" ht="13" customHeight="1">
      <c r="D52" s="6" t="s">
        <v>32</v>
      </c>
      <c r="E52" s="8">
        <v>12</v>
      </c>
      <c r="F52" s="7">
        <f>+F51</f>
        <v>50</v>
      </c>
      <c r="G52" s="7">
        <f t="shared" ref="G52:G53" si="4">+E52*F52</f>
        <v>600</v>
      </c>
    </row>
    <row r="53" spans="4:7" ht="13" customHeight="1">
      <c r="D53" s="6" t="s">
        <v>33</v>
      </c>
      <c r="E53" s="8">
        <v>9</v>
      </c>
      <c r="F53" s="7">
        <f>+F52</f>
        <v>50</v>
      </c>
      <c r="G53" s="7">
        <f t="shared" si="4"/>
        <v>450</v>
      </c>
    </row>
    <row r="54" spans="4:7" ht="13" customHeight="1">
      <c r="D54" s="9" t="s">
        <v>134</v>
      </c>
      <c r="E54" s="11">
        <f>SUM(E51:E53)</f>
        <v>60</v>
      </c>
      <c r="F54" s="10">
        <f>F51</f>
        <v>50</v>
      </c>
      <c r="G54" s="10">
        <f>SUM(G51:G53)</f>
        <v>3000</v>
      </c>
    </row>
    <row r="55" spans="4:7" ht="13" customHeight="1">
      <c r="D55" s="6"/>
      <c r="E55" s="8"/>
      <c r="F55" s="7"/>
      <c r="G55" s="7"/>
    </row>
  </sheetData>
  <mergeCells count="7">
    <mergeCell ref="D49:F49"/>
    <mergeCell ref="J27:M27"/>
    <mergeCell ref="D9:G9"/>
    <mergeCell ref="J11:M11"/>
    <mergeCell ref="D27:G27"/>
    <mergeCell ref="D11:G11"/>
    <mergeCell ref="J9:M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M45"/>
  <sheetViews>
    <sheetView showGridLines="0" tabSelected="1" topLeftCell="C5" zoomScale="125" zoomScaleNormal="125" zoomScalePageLayoutView="125" workbookViewId="0">
      <selection activeCell="H17" sqref="H17"/>
    </sheetView>
  </sheetViews>
  <sheetFormatPr baseColWidth="10" defaultRowHeight="14" x14ac:dyDescent="0"/>
  <cols>
    <col min="1" max="3" width="10.83203125" style="4"/>
    <col min="4" max="4" width="9.5" style="12" bestFit="1" customWidth="1"/>
    <col min="5" max="6" width="10.6640625" style="12" customWidth="1"/>
    <col min="7" max="7" width="18" style="12" customWidth="1"/>
    <col min="8" max="8" width="15.6640625" style="12" customWidth="1"/>
    <col min="9" max="9" width="18.1640625" style="12" customWidth="1"/>
    <col min="10" max="10" width="13.5" style="12" bestFit="1" customWidth="1"/>
    <col min="11" max="11" width="12.6640625" style="12" bestFit="1" customWidth="1"/>
    <col min="12" max="12" width="10.33203125" style="12" bestFit="1" customWidth="1"/>
    <col min="13" max="13" width="15.33203125" style="12" bestFit="1" customWidth="1"/>
    <col min="14" max="14" width="29.5" style="4" customWidth="1"/>
    <col min="15" max="16384" width="10.83203125" style="4"/>
  </cols>
  <sheetData>
    <row r="10" spans="4:13" ht="24.75" customHeight="1">
      <c r="D10" s="96" t="s">
        <v>160</v>
      </c>
      <c r="E10" s="96"/>
      <c r="F10" s="96"/>
      <c r="G10" s="96"/>
      <c r="H10" s="96"/>
      <c r="I10" s="96"/>
      <c r="J10" s="96"/>
      <c r="K10" s="96"/>
      <c r="L10" s="96"/>
      <c r="M10" s="96"/>
    </row>
    <row r="11" spans="4:13" s="12" customFormat="1"/>
    <row r="12" spans="4:13" s="13" customFormat="1" ht="28">
      <c r="D12" s="106" t="s">
        <v>78</v>
      </c>
      <c r="E12" s="11" t="s">
        <v>72</v>
      </c>
      <c r="F12" s="11" t="s">
        <v>77</v>
      </c>
      <c r="G12" s="11" t="s">
        <v>74</v>
      </c>
      <c r="H12" s="11" t="s">
        <v>74</v>
      </c>
      <c r="I12" s="106" t="s">
        <v>140</v>
      </c>
      <c r="J12" s="106" t="s">
        <v>45</v>
      </c>
      <c r="K12" s="106" t="s">
        <v>46</v>
      </c>
      <c r="L12" s="106" t="s">
        <v>47</v>
      </c>
      <c r="M12" s="11" t="s">
        <v>75</v>
      </c>
    </row>
    <row r="13" spans="4:13" s="13" customFormat="1" ht="19.5" customHeight="1">
      <c r="D13" s="106"/>
      <c r="E13" s="11" t="s">
        <v>73</v>
      </c>
      <c r="F13" s="11" t="s">
        <v>73</v>
      </c>
      <c r="G13" s="11" t="s">
        <v>139</v>
      </c>
      <c r="H13" s="11" t="s">
        <v>79</v>
      </c>
      <c r="I13" s="106"/>
      <c r="J13" s="106"/>
      <c r="K13" s="106"/>
      <c r="L13" s="106"/>
      <c r="M13" s="11" t="s">
        <v>76</v>
      </c>
    </row>
    <row r="14" spans="4:13">
      <c r="D14" s="64">
        <v>0</v>
      </c>
      <c r="E14" s="64">
        <f>+Inputs!K17</f>
        <v>0</v>
      </c>
      <c r="F14" s="64">
        <f>+Inputs!M17</f>
        <v>0</v>
      </c>
      <c r="G14" s="65">
        <f>E14*Inputs!$T$33</f>
        <v>0</v>
      </c>
      <c r="H14" s="65">
        <f>F14*Inputs!$T$33</f>
        <v>0</v>
      </c>
      <c r="I14" s="66">
        <f>H14*Inputs!$T$21</f>
        <v>0</v>
      </c>
      <c r="J14" s="66">
        <v>0</v>
      </c>
      <c r="K14" s="66">
        <v>0</v>
      </c>
      <c r="L14" s="66">
        <f>+Inputs!F17</f>
        <v>20903.07</v>
      </c>
      <c r="M14" s="66">
        <f>I14-(J14+K14+L14)</f>
        <v>-20903.07</v>
      </c>
    </row>
    <row r="15" spans="4:13">
      <c r="D15" s="64">
        <v>1</v>
      </c>
      <c r="E15" s="64">
        <f>+E14</f>
        <v>0</v>
      </c>
      <c r="F15" s="64">
        <f>+F14</f>
        <v>0</v>
      </c>
      <c r="G15" s="65">
        <f>E15*Inputs!$T$33</f>
        <v>0</v>
      </c>
      <c r="H15" s="65">
        <f>F15*Inputs!$T$33</f>
        <v>0</v>
      </c>
      <c r="I15" s="66">
        <f>H15*Inputs!$T$21</f>
        <v>0</v>
      </c>
      <c r="J15" s="66">
        <f>+Inputs!F29</f>
        <v>3000</v>
      </c>
      <c r="K15" s="66">
        <v>0</v>
      </c>
      <c r="L15" s="66">
        <v>0</v>
      </c>
      <c r="M15" s="66">
        <f t="shared" ref="M15:M44" si="0">I15-(J15+K15+L15)</f>
        <v>-3000</v>
      </c>
    </row>
    <row r="16" spans="4:13">
      <c r="D16" s="64">
        <v>2</v>
      </c>
      <c r="E16" s="64">
        <f>+E15</f>
        <v>0</v>
      </c>
      <c r="F16" s="64">
        <f>+F15</f>
        <v>0</v>
      </c>
      <c r="G16" s="65">
        <f>E16*Inputs!$T$33</f>
        <v>0</v>
      </c>
      <c r="H16" s="65">
        <f>F16*Inputs!$T$33</f>
        <v>0</v>
      </c>
      <c r="I16" s="66">
        <f>H16*Inputs!$T$21</f>
        <v>0</v>
      </c>
      <c r="J16" s="66">
        <f>+J15</f>
        <v>3000</v>
      </c>
      <c r="K16" s="66">
        <v>0</v>
      </c>
      <c r="L16" s="66">
        <v>0</v>
      </c>
      <c r="M16" s="66">
        <f t="shared" si="0"/>
        <v>-3000</v>
      </c>
    </row>
    <row r="17" spans="4:13">
      <c r="D17" s="64">
        <v>3</v>
      </c>
      <c r="E17" s="65">
        <f>+Inputs!K19</f>
        <v>1.1000000000000001</v>
      </c>
      <c r="F17" s="65">
        <f>+Inputs!M19</f>
        <v>0.3666666666666667</v>
      </c>
      <c r="G17" s="65">
        <f>E17*Inputs!$T$33</f>
        <v>1210</v>
      </c>
      <c r="H17" s="65">
        <f>F17*Inputs!$T$33</f>
        <v>403.33333333333337</v>
      </c>
      <c r="I17" s="66">
        <f>H17*Inputs!$T$21</f>
        <v>605</v>
      </c>
      <c r="J17" s="66">
        <f t="shared" ref="J17:J44" si="1">+J16</f>
        <v>3000</v>
      </c>
      <c r="K17" s="66">
        <f>+Inputs!F31</f>
        <v>5344.45</v>
      </c>
      <c r="L17" s="66">
        <v>0</v>
      </c>
      <c r="M17" s="66">
        <f t="shared" si="0"/>
        <v>-7739.4500000000007</v>
      </c>
    </row>
    <row r="18" spans="4:13">
      <c r="D18" s="64">
        <v>4</v>
      </c>
      <c r="E18" s="65">
        <f>+E17</f>
        <v>1.1000000000000001</v>
      </c>
      <c r="F18" s="65">
        <f>+F17</f>
        <v>0.3666666666666667</v>
      </c>
      <c r="G18" s="65">
        <f>E18*Inputs!$T$33</f>
        <v>1210</v>
      </c>
      <c r="H18" s="65">
        <f>F18*Inputs!$T$33</f>
        <v>403.33333333333337</v>
      </c>
      <c r="I18" s="66">
        <f>H18*Inputs!$T$21</f>
        <v>605</v>
      </c>
      <c r="J18" s="66">
        <f t="shared" si="1"/>
        <v>3000</v>
      </c>
      <c r="K18" s="66">
        <f>+K17</f>
        <v>5344.45</v>
      </c>
      <c r="L18" s="66">
        <v>0</v>
      </c>
      <c r="M18" s="66">
        <f t="shared" si="0"/>
        <v>-7739.4500000000007</v>
      </c>
    </row>
    <row r="19" spans="4:13">
      <c r="D19" s="64">
        <v>5</v>
      </c>
      <c r="E19" s="65">
        <f>+E18</f>
        <v>1.1000000000000001</v>
      </c>
      <c r="F19" s="65">
        <f>+F18</f>
        <v>0.3666666666666667</v>
      </c>
      <c r="G19" s="65">
        <f>E19*Inputs!$T$33</f>
        <v>1210</v>
      </c>
      <c r="H19" s="65">
        <f>F19*Inputs!$T$33</f>
        <v>403.33333333333337</v>
      </c>
      <c r="I19" s="66">
        <f>H19*Inputs!$T$21</f>
        <v>605</v>
      </c>
      <c r="J19" s="66">
        <f t="shared" si="1"/>
        <v>3000</v>
      </c>
      <c r="K19" s="66">
        <f t="shared" ref="K19:K44" si="2">+K18</f>
        <v>5344.45</v>
      </c>
      <c r="L19" s="66">
        <v>0</v>
      </c>
      <c r="M19" s="66">
        <f t="shared" si="0"/>
        <v>-7739.4500000000007</v>
      </c>
    </row>
    <row r="20" spans="4:13">
      <c r="D20" s="64">
        <v>6</v>
      </c>
      <c r="E20" s="65">
        <f>+Inputs!K23</f>
        <v>17.64</v>
      </c>
      <c r="F20" s="65">
        <f>+Inputs!M23</f>
        <v>5.88</v>
      </c>
      <c r="G20" s="65">
        <f>E20*Inputs!$T$33</f>
        <v>19404</v>
      </c>
      <c r="H20" s="65">
        <f>F20*Inputs!$T$33</f>
        <v>6468</v>
      </c>
      <c r="I20" s="66">
        <f>H20*Inputs!$T$21</f>
        <v>9702</v>
      </c>
      <c r="J20" s="66">
        <f t="shared" si="1"/>
        <v>3000</v>
      </c>
      <c r="K20" s="66">
        <f t="shared" si="2"/>
        <v>5344.45</v>
      </c>
      <c r="L20" s="66">
        <v>0</v>
      </c>
      <c r="M20" s="66">
        <f t="shared" si="0"/>
        <v>1357.5499999999993</v>
      </c>
    </row>
    <row r="21" spans="4:13">
      <c r="D21" s="64">
        <v>7</v>
      </c>
      <c r="E21" s="65">
        <f>+Inputs!K25</f>
        <v>26.46</v>
      </c>
      <c r="F21" s="65">
        <f>+Inputs!M25</f>
        <v>8.82</v>
      </c>
      <c r="G21" s="65">
        <f>E21*Inputs!$T$33</f>
        <v>29106</v>
      </c>
      <c r="H21" s="65">
        <f>F21*Inputs!$T$33</f>
        <v>9702</v>
      </c>
      <c r="I21" s="66">
        <f>H21*Inputs!$T$21</f>
        <v>14553</v>
      </c>
      <c r="J21" s="66">
        <f t="shared" si="1"/>
        <v>3000</v>
      </c>
      <c r="K21" s="66">
        <f t="shared" si="2"/>
        <v>5344.45</v>
      </c>
      <c r="L21" s="66">
        <v>0</v>
      </c>
      <c r="M21" s="66">
        <f t="shared" si="0"/>
        <v>6208.5499999999993</v>
      </c>
    </row>
    <row r="22" spans="4:13">
      <c r="D22" s="64">
        <v>8</v>
      </c>
      <c r="E22" s="65">
        <f>+Inputs!K27</f>
        <v>33.07</v>
      </c>
      <c r="F22" s="65">
        <f>+Inputs!M27</f>
        <v>11.023333333333333</v>
      </c>
      <c r="G22" s="65">
        <f>E22*Inputs!$T$33</f>
        <v>36377</v>
      </c>
      <c r="H22" s="65">
        <f>F22*Inputs!$T$33</f>
        <v>12125.666666666666</v>
      </c>
      <c r="I22" s="66">
        <f>H22*Inputs!$T$21</f>
        <v>18188.5</v>
      </c>
      <c r="J22" s="66">
        <f t="shared" si="1"/>
        <v>3000</v>
      </c>
      <c r="K22" s="66">
        <f t="shared" si="2"/>
        <v>5344.45</v>
      </c>
      <c r="L22" s="66">
        <v>0</v>
      </c>
      <c r="M22" s="66">
        <f t="shared" si="0"/>
        <v>9844.0499999999993</v>
      </c>
    </row>
    <row r="23" spans="4:13">
      <c r="D23" s="64">
        <v>9</v>
      </c>
      <c r="E23" s="65">
        <f>+Inputs!K29</f>
        <v>37.479999999999997</v>
      </c>
      <c r="F23" s="65">
        <f>+Inputs!M29</f>
        <v>12.493333333333332</v>
      </c>
      <c r="G23" s="65">
        <f>E23*Inputs!$T$33</f>
        <v>41228</v>
      </c>
      <c r="H23" s="65">
        <f>F23*Inputs!$T$33</f>
        <v>13742.666666666666</v>
      </c>
      <c r="I23" s="66">
        <f>H23*Inputs!$T$21</f>
        <v>20614</v>
      </c>
      <c r="J23" s="66">
        <f t="shared" si="1"/>
        <v>3000</v>
      </c>
      <c r="K23" s="66">
        <f t="shared" si="2"/>
        <v>5344.45</v>
      </c>
      <c r="L23" s="66">
        <v>0</v>
      </c>
      <c r="M23" s="66">
        <f t="shared" si="0"/>
        <v>12269.55</v>
      </c>
    </row>
    <row r="24" spans="4:13">
      <c r="D24" s="64">
        <v>10</v>
      </c>
      <c r="E24" s="65">
        <f>+Inputs!K31</f>
        <v>39.68</v>
      </c>
      <c r="F24" s="65">
        <f>+Inputs!M31</f>
        <v>13.226666666666667</v>
      </c>
      <c r="G24" s="65">
        <f>E24*Inputs!$T$33</f>
        <v>43648</v>
      </c>
      <c r="H24" s="65">
        <f>F24*Inputs!$T$33</f>
        <v>14549.333333333334</v>
      </c>
      <c r="I24" s="66">
        <f>H24*Inputs!$T$21</f>
        <v>21824</v>
      </c>
      <c r="J24" s="66">
        <f t="shared" si="1"/>
        <v>3000</v>
      </c>
      <c r="K24" s="66">
        <f t="shared" si="2"/>
        <v>5344.45</v>
      </c>
      <c r="L24" s="66">
        <v>0</v>
      </c>
      <c r="M24" s="66">
        <f t="shared" si="0"/>
        <v>13479.55</v>
      </c>
    </row>
    <row r="25" spans="4:13">
      <c r="D25" s="64">
        <v>11</v>
      </c>
      <c r="E25" s="65">
        <f>+Inputs!K33</f>
        <v>41.89</v>
      </c>
      <c r="F25" s="65">
        <f>+Inputs!M33</f>
        <v>13.963333333333333</v>
      </c>
      <c r="G25" s="65">
        <f>E25*Inputs!$T$33</f>
        <v>46079</v>
      </c>
      <c r="H25" s="65">
        <f>F25*Inputs!$T$33</f>
        <v>15359.666666666666</v>
      </c>
      <c r="I25" s="66">
        <f>H25*Inputs!$T$21</f>
        <v>23039.5</v>
      </c>
      <c r="J25" s="66">
        <f t="shared" si="1"/>
        <v>3000</v>
      </c>
      <c r="K25" s="66">
        <f t="shared" si="2"/>
        <v>5344.45</v>
      </c>
      <c r="L25" s="66">
        <v>0</v>
      </c>
      <c r="M25" s="66">
        <f t="shared" si="0"/>
        <v>14695.05</v>
      </c>
    </row>
    <row r="26" spans="4:13">
      <c r="D26" s="64">
        <v>12</v>
      </c>
      <c r="E26" s="65">
        <f>+Inputs!K35</f>
        <v>46.3</v>
      </c>
      <c r="F26" s="65">
        <f>+Inputs!M35</f>
        <v>15.433333333333332</v>
      </c>
      <c r="G26" s="65">
        <f>E26*Inputs!$T$33</f>
        <v>50930</v>
      </c>
      <c r="H26" s="65">
        <f>F26*Inputs!$T$33</f>
        <v>16976.666666666664</v>
      </c>
      <c r="I26" s="66">
        <f>H26*Inputs!$T$21</f>
        <v>25464.999999999996</v>
      </c>
      <c r="J26" s="66">
        <f t="shared" si="1"/>
        <v>3000</v>
      </c>
      <c r="K26" s="66">
        <f t="shared" si="2"/>
        <v>5344.45</v>
      </c>
      <c r="L26" s="66">
        <v>0</v>
      </c>
      <c r="M26" s="66">
        <f t="shared" si="0"/>
        <v>17120.549999999996</v>
      </c>
    </row>
    <row r="27" spans="4:13">
      <c r="D27" s="64">
        <v>13</v>
      </c>
      <c r="E27" s="65">
        <f>+Inputs!K37</f>
        <v>48.5</v>
      </c>
      <c r="F27" s="65">
        <f>+Inputs!M37</f>
        <v>16.166666666666668</v>
      </c>
      <c r="G27" s="65">
        <f>E27*Inputs!$T$33</f>
        <v>53350</v>
      </c>
      <c r="H27" s="65">
        <f>F27*Inputs!$T$33</f>
        <v>17783.333333333336</v>
      </c>
      <c r="I27" s="66">
        <f>H27*Inputs!$T$21</f>
        <v>26675.000000000004</v>
      </c>
      <c r="J27" s="66">
        <f t="shared" si="1"/>
        <v>3000</v>
      </c>
      <c r="K27" s="66">
        <f t="shared" si="2"/>
        <v>5344.45</v>
      </c>
      <c r="L27" s="66">
        <v>0</v>
      </c>
      <c r="M27" s="66">
        <f t="shared" si="0"/>
        <v>18330.550000000003</v>
      </c>
    </row>
    <row r="28" spans="4:13">
      <c r="D28" s="64">
        <v>14</v>
      </c>
      <c r="E28" s="65">
        <f>+Inputs!K39</f>
        <v>50.71</v>
      </c>
      <c r="F28" s="65">
        <f>+Inputs!M39</f>
        <v>16.903333333333332</v>
      </c>
      <c r="G28" s="65">
        <f>E28*Inputs!$T$33</f>
        <v>55781</v>
      </c>
      <c r="H28" s="65">
        <f>F28*Inputs!$T$33</f>
        <v>18593.666666666664</v>
      </c>
      <c r="I28" s="66">
        <f>H28*Inputs!$T$21</f>
        <v>27890.499999999996</v>
      </c>
      <c r="J28" s="66">
        <f t="shared" si="1"/>
        <v>3000</v>
      </c>
      <c r="K28" s="66">
        <f t="shared" si="2"/>
        <v>5344.45</v>
      </c>
      <c r="L28" s="66">
        <v>0</v>
      </c>
      <c r="M28" s="66">
        <f t="shared" si="0"/>
        <v>19546.049999999996</v>
      </c>
    </row>
    <row r="29" spans="4:13">
      <c r="D29" s="64">
        <v>15</v>
      </c>
      <c r="E29" s="65">
        <f>+Inputs!K41</f>
        <v>52.91</v>
      </c>
      <c r="F29" s="65">
        <f>+Inputs!M41</f>
        <v>17.636666666666667</v>
      </c>
      <c r="G29" s="65">
        <f>E29*Inputs!$T$33</f>
        <v>58200.999999999993</v>
      </c>
      <c r="H29" s="65">
        <f>F29*Inputs!$T$33</f>
        <v>19400.333333333332</v>
      </c>
      <c r="I29" s="66">
        <f>H29*Inputs!$T$21</f>
        <v>29100.5</v>
      </c>
      <c r="J29" s="66">
        <f t="shared" si="1"/>
        <v>3000</v>
      </c>
      <c r="K29" s="66">
        <f t="shared" si="2"/>
        <v>5344.45</v>
      </c>
      <c r="L29" s="66">
        <v>0</v>
      </c>
      <c r="M29" s="66">
        <f t="shared" si="0"/>
        <v>20756.05</v>
      </c>
    </row>
    <row r="30" spans="4:13">
      <c r="D30" s="64">
        <v>16</v>
      </c>
      <c r="E30" s="65">
        <f>+Inputs!K43</f>
        <v>55.12</v>
      </c>
      <c r="F30" s="65">
        <f>+Inputs!M43</f>
        <v>18.373333333333331</v>
      </c>
      <c r="G30" s="65">
        <f>E30*Inputs!$T$33</f>
        <v>60632</v>
      </c>
      <c r="H30" s="65">
        <f>F30*Inputs!$T$33</f>
        <v>20210.666666666664</v>
      </c>
      <c r="I30" s="66">
        <f>H30*Inputs!$T$21</f>
        <v>30315.999999999996</v>
      </c>
      <c r="J30" s="66">
        <f t="shared" si="1"/>
        <v>3000</v>
      </c>
      <c r="K30" s="66">
        <f t="shared" si="2"/>
        <v>5344.45</v>
      </c>
      <c r="L30" s="66">
        <v>0</v>
      </c>
      <c r="M30" s="66">
        <f t="shared" si="0"/>
        <v>21971.549999999996</v>
      </c>
    </row>
    <row r="31" spans="4:13">
      <c r="D31" s="64">
        <v>17</v>
      </c>
      <c r="E31" s="65">
        <f>+Inputs!K45</f>
        <v>61.73</v>
      </c>
      <c r="F31" s="65">
        <f>+Inputs!M45</f>
        <v>20.576666666666664</v>
      </c>
      <c r="G31" s="65">
        <f>E31*Inputs!$T$33</f>
        <v>67903</v>
      </c>
      <c r="H31" s="65">
        <f>F31*Inputs!$T$33</f>
        <v>22634.333333333332</v>
      </c>
      <c r="I31" s="66">
        <f>H31*Inputs!$T$21</f>
        <v>33951.5</v>
      </c>
      <c r="J31" s="66">
        <f t="shared" si="1"/>
        <v>3000</v>
      </c>
      <c r="K31" s="66">
        <f t="shared" si="2"/>
        <v>5344.45</v>
      </c>
      <c r="L31" s="66">
        <v>0</v>
      </c>
      <c r="M31" s="66">
        <f t="shared" si="0"/>
        <v>25607.05</v>
      </c>
    </row>
    <row r="32" spans="4:13">
      <c r="D32" s="64">
        <v>18</v>
      </c>
      <c r="E32" s="65">
        <f>+Inputs!K47</f>
        <v>70.55</v>
      </c>
      <c r="F32" s="65">
        <f>+Inputs!M47</f>
        <v>23.516666666666666</v>
      </c>
      <c r="G32" s="65">
        <f>E32*Inputs!$T$33</f>
        <v>77605</v>
      </c>
      <c r="H32" s="65">
        <f>F32*Inputs!$T$33</f>
        <v>25868.333333333332</v>
      </c>
      <c r="I32" s="66">
        <f>H32*Inputs!$T$21</f>
        <v>38802.5</v>
      </c>
      <c r="J32" s="66">
        <f t="shared" si="1"/>
        <v>3000</v>
      </c>
      <c r="K32" s="66">
        <f t="shared" si="2"/>
        <v>5344.45</v>
      </c>
      <c r="L32" s="66">
        <v>0</v>
      </c>
      <c r="M32" s="66">
        <f t="shared" si="0"/>
        <v>30458.05</v>
      </c>
    </row>
    <row r="33" spans="4:13">
      <c r="D33" s="64">
        <v>19</v>
      </c>
      <c r="E33" s="65">
        <f>+Inputs!K49</f>
        <v>83.78</v>
      </c>
      <c r="F33" s="65">
        <f>+Inputs!M49</f>
        <v>27.926666666666666</v>
      </c>
      <c r="G33" s="65">
        <f>E33*Inputs!$T$33</f>
        <v>92158</v>
      </c>
      <c r="H33" s="65">
        <f>F33*Inputs!$T$33</f>
        <v>30719.333333333332</v>
      </c>
      <c r="I33" s="66">
        <f>H33*Inputs!$T$21</f>
        <v>46079</v>
      </c>
      <c r="J33" s="66">
        <f t="shared" si="1"/>
        <v>3000</v>
      </c>
      <c r="K33" s="66">
        <f t="shared" si="2"/>
        <v>5344.45</v>
      </c>
      <c r="L33" s="66">
        <v>0</v>
      </c>
      <c r="M33" s="66">
        <f t="shared" si="0"/>
        <v>37734.550000000003</v>
      </c>
    </row>
    <row r="34" spans="4:13">
      <c r="D34" s="64">
        <v>20</v>
      </c>
      <c r="E34" s="65">
        <f>+Inputs!K51</f>
        <v>88.18</v>
      </c>
      <c r="F34" s="65">
        <f>+Inputs!M51</f>
        <v>29.393333333333334</v>
      </c>
      <c r="G34" s="65">
        <f>E34*Inputs!$T$33</f>
        <v>96998.000000000015</v>
      </c>
      <c r="H34" s="65">
        <f>F34*Inputs!$T$33</f>
        <v>32332.666666666668</v>
      </c>
      <c r="I34" s="66">
        <f>H34*Inputs!$T$21</f>
        <v>48499</v>
      </c>
      <c r="J34" s="66">
        <f t="shared" si="1"/>
        <v>3000</v>
      </c>
      <c r="K34" s="66">
        <f t="shared" si="2"/>
        <v>5344.45</v>
      </c>
      <c r="L34" s="66">
        <v>0</v>
      </c>
      <c r="M34" s="66">
        <f t="shared" si="0"/>
        <v>40154.550000000003</v>
      </c>
    </row>
    <row r="35" spans="4:13">
      <c r="D35" s="64">
        <v>21</v>
      </c>
      <c r="E35" s="65">
        <f>+Inputs!K53</f>
        <v>97</v>
      </c>
      <c r="F35" s="65">
        <f>+Inputs!M53</f>
        <v>32.333333333333336</v>
      </c>
      <c r="G35" s="65">
        <f>E35*Inputs!$T$33</f>
        <v>106700</v>
      </c>
      <c r="H35" s="65">
        <f>F35*Inputs!$T$33</f>
        <v>35566.666666666672</v>
      </c>
      <c r="I35" s="66">
        <f>H35*Inputs!$T$21</f>
        <v>53350.000000000007</v>
      </c>
      <c r="J35" s="66">
        <f t="shared" si="1"/>
        <v>3000</v>
      </c>
      <c r="K35" s="66">
        <f t="shared" si="2"/>
        <v>5344.45</v>
      </c>
      <c r="L35" s="66">
        <v>0</v>
      </c>
      <c r="M35" s="66">
        <f t="shared" si="0"/>
        <v>45005.55</v>
      </c>
    </row>
    <row r="36" spans="4:13">
      <c r="D36" s="64">
        <v>22</v>
      </c>
      <c r="E36" s="65">
        <f>+Inputs!K55</f>
        <v>105.82</v>
      </c>
      <c r="F36" s="65">
        <f>+Inputs!M55</f>
        <v>35.273333333333333</v>
      </c>
      <c r="G36" s="65">
        <f>E36*Inputs!$T$33</f>
        <v>116401.99999999999</v>
      </c>
      <c r="H36" s="65">
        <f>F36*Inputs!$T$33</f>
        <v>38800.666666666664</v>
      </c>
      <c r="I36" s="66">
        <f>H36*Inputs!$T$21</f>
        <v>58201</v>
      </c>
      <c r="J36" s="66">
        <f t="shared" si="1"/>
        <v>3000</v>
      </c>
      <c r="K36" s="66">
        <f t="shared" si="2"/>
        <v>5344.45</v>
      </c>
      <c r="L36" s="66">
        <v>0</v>
      </c>
      <c r="M36" s="66">
        <f t="shared" si="0"/>
        <v>49856.55</v>
      </c>
    </row>
    <row r="37" spans="4:13">
      <c r="D37" s="64">
        <v>23</v>
      </c>
      <c r="E37" s="65">
        <f>+Inputs!K57</f>
        <v>110.23</v>
      </c>
      <c r="F37" s="65">
        <f>+Inputs!M57</f>
        <v>36.743333333333332</v>
      </c>
      <c r="G37" s="65">
        <f>E37*Inputs!$T$33</f>
        <v>121253</v>
      </c>
      <c r="H37" s="65">
        <f>F37*Inputs!$T$33</f>
        <v>40417.666666666664</v>
      </c>
      <c r="I37" s="66">
        <f>H37*Inputs!$T$21</f>
        <v>60626.5</v>
      </c>
      <c r="J37" s="66">
        <f t="shared" si="1"/>
        <v>3000</v>
      </c>
      <c r="K37" s="66">
        <f t="shared" si="2"/>
        <v>5344.45</v>
      </c>
      <c r="L37" s="66">
        <v>0</v>
      </c>
      <c r="M37" s="66">
        <f t="shared" si="0"/>
        <v>52282.05</v>
      </c>
    </row>
    <row r="38" spans="4:13">
      <c r="D38" s="64">
        <v>24</v>
      </c>
      <c r="E38" s="65">
        <f>+Inputs!K59</f>
        <v>121.25</v>
      </c>
      <c r="F38" s="65">
        <f>+Inputs!M59</f>
        <v>40.416666666666664</v>
      </c>
      <c r="G38" s="65">
        <f>E38*Inputs!$T$33</f>
        <v>133375</v>
      </c>
      <c r="H38" s="65">
        <f>F38*Inputs!$T$33</f>
        <v>44458.333333333328</v>
      </c>
      <c r="I38" s="66">
        <f>H38*Inputs!$T$21</f>
        <v>66687.5</v>
      </c>
      <c r="J38" s="66">
        <f t="shared" si="1"/>
        <v>3000</v>
      </c>
      <c r="K38" s="66">
        <f t="shared" si="2"/>
        <v>5344.45</v>
      </c>
      <c r="L38" s="66">
        <v>0</v>
      </c>
      <c r="M38" s="66">
        <f t="shared" si="0"/>
        <v>58343.05</v>
      </c>
    </row>
    <row r="39" spans="4:13">
      <c r="D39" s="64">
        <v>25</v>
      </c>
      <c r="E39" s="65">
        <f>+Inputs!K61</f>
        <v>132.28</v>
      </c>
      <c r="F39" s="65">
        <f>+Inputs!M61</f>
        <v>44.093333333333334</v>
      </c>
      <c r="G39" s="65">
        <f>E39*Inputs!$T$33</f>
        <v>145508</v>
      </c>
      <c r="H39" s="65">
        <f>F39*Inputs!$T$33</f>
        <v>48502.666666666664</v>
      </c>
      <c r="I39" s="66">
        <f>H39*Inputs!$T$21</f>
        <v>72754</v>
      </c>
      <c r="J39" s="66">
        <f t="shared" si="1"/>
        <v>3000</v>
      </c>
      <c r="K39" s="66">
        <f t="shared" si="2"/>
        <v>5344.45</v>
      </c>
      <c r="L39" s="66">
        <v>0</v>
      </c>
      <c r="M39" s="66">
        <f t="shared" si="0"/>
        <v>64409.55</v>
      </c>
    </row>
    <row r="40" spans="4:13">
      <c r="D40" s="64">
        <v>26</v>
      </c>
      <c r="E40" s="65">
        <f>+Inputs!K63</f>
        <v>138.88999999999999</v>
      </c>
      <c r="F40" s="65">
        <f>+Inputs!M63</f>
        <v>46.29666666666666</v>
      </c>
      <c r="G40" s="65">
        <f>E40*Inputs!$T$33</f>
        <v>152778.99999999997</v>
      </c>
      <c r="H40" s="65">
        <f>F40*Inputs!$T$33</f>
        <v>50926.333333333328</v>
      </c>
      <c r="I40" s="66">
        <f>H40*Inputs!$T$21</f>
        <v>76389.5</v>
      </c>
      <c r="J40" s="66">
        <f t="shared" si="1"/>
        <v>3000</v>
      </c>
      <c r="K40" s="66">
        <f t="shared" si="2"/>
        <v>5344.45</v>
      </c>
      <c r="L40" s="66">
        <v>0</v>
      </c>
      <c r="M40" s="66">
        <f t="shared" si="0"/>
        <v>68045.05</v>
      </c>
    </row>
    <row r="41" spans="4:13">
      <c r="D41" s="64">
        <v>27</v>
      </c>
      <c r="E41" s="65">
        <f>+Inputs!K65</f>
        <v>143.30000000000001</v>
      </c>
      <c r="F41" s="65">
        <f>+Inputs!M65</f>
        <v>47.766666666666673</v>
      </c>
      <c r="G41" s="65">
        <f>E41*Inputs!$T$33</f>
        <v>157630</v>
      </c>
      <c r="H41" s="65">
        <f>F41*Inputs!$T$33</f>
        <v>52543.333333333343</v>
      </c>
      <c r="I41" s="66">
        <f>H41*Inputs!$T$21</f>
        <v>78815.000000000015</v>
      </c>
      <c r="J41" s="66">
        <f t="shared" si="1"/>
        <v>3000</v>
      </c>
      <c r="K41" s="66">
        <f t="shared" si="2"/>
        <v>5344.45</v>
      </c>
      <c r="L41" s="66">
        <v>0</v>
      </c>
      <c r="M41" s="66">
        <f t="shared" si="0"/>
        <v>70470.550000000017</v>
      </c>
    </row>
    <row r="42" spans="4:13">
      <c r="D42" s="64">
        <v>28</v>
      </c>
      <c r="E42" s="65">
        <f>+Inputs!K67</f>
        <v>154.32</v>
      </c>
      <c r="F42" s="65">
        <f>+Inputs!M67</f>
        <v>51.44</v>
      </c>
      <c r="G42" s="65">
        <f>E42*Inputs!$T$33</f>
        <v>169752</v>
      </c>
      <c r="H42" s="65">
        <f>F42*Inputs!$T$33</f>
        <v>56584</v>
      </c>
      <c r="I42" s="66">
        <f>H42*Inputs!$T$21</f>
        <v>84876</v>
      </c>
      <c r="J42" s="66">
        <f t="shared" si="1"/>
        <v>3000</v>
      </c>
      <c r="K42" s="66">
        <f t="shared" si="2"/>
        <v>5344.45</v>
      </c>
      <c r="L42" s="66">
        <v>0</v>
      </c>
      <c r="M42" s="66">
        <f t="shared" si="0"/>
        <v>76531.55</v>
      </c>
    </row>
    <row r="43" spans="4:13">
      <c r="D43" s="64">
        <v>29</v>
      </c>
      <c r="E43" s="65">
        <f>+Inputs!K69</f>
        <v>165.35</v>
      </c>
      <c r="F43" s="65">
        <f>+Inputs!M69</f>
        <v>55.116666666666667</v>
      </c>
      <c r="G43" s="65">
        <f>E43*Inputs!$T$33</f>
        <v>181885</v>
      </c>
      <c r="H43" s="65">
        <f>F43*Inputs!$T$33</f>
        <v>60628.333333333336</v>
      </c>
      <c r="I43" s="66">
        <f>H43*Inputs!$T$21</f>
        <v>90942.5</v>
      </c>
      <c r="J43" s="66">
        <f t="shared" si="1"/>
        <v>3000</v>
      </c>
      <c r="K43" s="66">
        <f t="shared" si="2"/>
        <v>5344.45</v>
      </c>
      <c r="L43" s="66">
        <v>0</v>
      </c>
      <c r="M43" s="66">
        <f t="shared" si="0"/>
        <v>82598.05</v>
      </c>
    </row>
    <row r="44" spans="4:13" ht="15" thickBot="1">
      <c r="D44" s="64">
        <v>29</v>
      </c>
      <c r="E44" s="65">
        <f>+Inputs!K69</f>
        <v>165.35</v>
      </c>
      <c r="F44" s="65">
        <f>+Inputs!M69</f>
        <v>55.116666666666667</v>
      </c>
      <c r="G44" s="65">
        <f>E44*Inputs!$T$33</f>
        <v>181885</v>
      </c>
      <c r="H44" s="65">
        <f>F44*Inputs!$T$33</f>
        <v>60628.333333333336</v>
      </c>
      <c r="I44" s="66">
        <f>H44*Inputs!$T$21</f>
        <v>90942.5</v>
      </c>
      <c r="J44" s="66">
        <f t="shared" si="1"/>
        <v>3000</v>
      </c>
      <c r="K44" s="66">
        <f t="shared" si="2"/>
        <v>5344.45</v>
      </c>
      <c r="L44" s="66">
        <v>0</v>
      </c>
      <c r="M44" s="66">
        <f t="shared" si="0"/>
        <v>82598.05</v>
      </c>
    </row>
    <row r="45" spans="4:13" ht="15" thickBot="1">
      <c r="D45" s="67" t="s">
        <v>18</v>
      </c>
      <c r="E45" s="68">
        <f t="shared" ref="E45:L45" si="3">SUM(E14:E44)</f>
        <v>2091.0899999999997</v>
      </c>
      <c r="F45" s="68">
        <f t="shared" si="3"/>
        <v>697.0300000000002</v>
      </c>
      <c r="G45" s="68">
        <f t="shared" si="3"/>
        <v>2300199</v>
      </c>
      <c r="H45" s="68">
        <f t="shared" si="3"/>
        <v>766733.00000000023</v>
      </c>
      <c r="I45" s="68">
        <f t="shared" si="3"/>
        <v>1150099.5</v>
      </c>
      <c r="J45" s="68">
        <f t="shared" si="3"/>
        <v>90000</v>
      </c>
      <c r="K45" s="68">
        <f t="shared" si="3"/>
        <v>149644.6</v>
      </c>
      <c r="L45" s="68">
        <f t="shared" si="3"/>
        <v>20903.07</v>
      </c>
      <c r="M45" s="68">
        <f>SUM(M14:M44)</f>
        <v>889551.83000000019</v>
      </c>
    </row>
  </sheetData>
  <mergeCells count="6">
    <mergeCell ref="D10:M10"/>
    <mergeCell ref="J12:J13"/>
    <mergeCell ref="K12:K13"/>
    <mergeCell ref="L12:L13"/>
    <mergeCell ref="I12:I13"/>
    <mergeCell ref="D12:D1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S90"/>
  <sheetViews>
    <sheetView showGridLines="0" topLeftCell="D36" zoomScale="125" zoomScaleNormal="125" zoomScalePageLayoutView="125" workbookViewId="0">
      <selection activeCell="L62" sqref="L62"/>
    </sheetView>
  </sheetViews>
  <sheetFormatPr baseColWidth="10" defaultRowHeight="12" x14ac:dyDescent="0"/>
  <cols>
    <col min="1" max="3" width="10.83203125" style="4"/>
    <col min="4" max="4" width="1.6640625" style="4" customWidth="1"/>
    <col min="5" max="5" width="5.6640625" style="4" customWidth="1"/>
    <col min="6" max="9" width="10.83203125" style="4"/>
    <col min="10" max="10" width="12.6640625" style="4" bestFit="1" customWidth="1"/>
    <col min="11" max="11" width="10.83203125" style="4"/>
    <col min="12" max="13" width="11.33203125" style="4" bestFit="1" customWidth="1"/>
    <col min="14" max="14" width="9.5" style="4" bestFit="1" customWidth="1"/>
    <col min="15" max="15" width="11.33203125" style="4" customWidth="1"/>
    <col min="16" max="16384" width="10.83203125" style="4"/>
  </cols>
  <sheetData>
    <row r="7" spans="4:18" ht="13" thickBot="1">
      <c r="K7" s="3"/>
      <c r="L7" s="3"/>
      <c r="M7" s="3"/>
      <c r="N7" s="3"/>
      <c r="O7" s="3"/>
      <c r="P7" s="3"/>
      <c r="Q7" s="3"/>
      <c r="R7" s="3"/>
    </row>
    <row r="8" spans="4:18" ht="13" thickBot="1">
      <c r="D8" s="91"/>
      <c r="E8" s="92"/>
      <c r="F8" s="92"/>
      <c r="G8" s="92"/>
      <c r="H8" s="92"/>
      <c r="I8" s="92"/>
      <c r="J8" s="93"/>
      <c r="K8" s="3"/>
      <c r="L8" s="3"/>
      <c r="M8" s="3"/>
      <c r="N8" s="3"/>
      <c r="O8" s="3"/>
      <c r="P8" s="3"/>
      <c r="Q8" s="3"/>
      <c r="R8" s="3"/>
    </row>
    <row r="9" spans="4:18" s="59" customFormat="1" ht="16" customHeight="1" thickBot="1">
      <c r="D9" s="94"/>
      <c r="E9" s="88" t="s">
        <v>155</v>
      </c>
      <c r="F9" s="88"/>
      <c r="G9" s="88"/>
      <c r="H9" s="89"/>
      <c r="I9" s="90"/>
      <c r="J9" s="95"/>
      <c r="K9" s="78"/>
      <c r="L9" s="78"/>
      <c r="M9" s="78"/>
      <c r="N9" s="78"/>
      <c r="O9" s="78"/>
      <c r="P9" s="79"/>
      <c r="Q9" s="79"/>
      <c r="R9" s="80"/>
    </row>
    <row r="10" spans="4:18" s="59" customFormat="1" ht="16" customHeight="1" thickBot="1">
      <c r="D10" s="94"/>
      <c r="E10" s="85" t="s">
        <v>149</v>
      </c>
      <c r="F10" s="86"/>
      <c r="G10" s="86"/>
      <c r="H10" s="86"/>
      <c r="I10" s="87"/>
      <c r="J10" s="81"/>
      <c r="K10" s="80"/>
      <c r="L10" s="80"/>
      <c r="M10" s="80"/>
      <c r="N10" s="80"/>
      <c r="O10" s="80"/>
      <c r="P10" s="80"/>
      <c r="Q10" s="80"/>
      <c r="R10" s="80"/>
    </row>
    <row r="11" spans="4:18" s="59" customFormat="1" ht="5" customHeight="1" thickBot="1">
      <c r="D11" s="94"/>
      <c r="E11" s="33"/>
      <c r="F11" s="80"/>
      <c r="G11" s="80"/>
      <c r="H11" s="80"/>
      <c r="I11" s="81"/>
      <c r="J11" s="81"/>
      <c r="K11" s="80"/>
      <c r="L11" s="80"/>
      <c r="M11" s="80"/>
      <c r="N11" s="80"/>
      <c r="O11" s="80"/>
      <c r="P11" s="80"/>
      <c r="Q11" s="80"/>
      <c r="R11" s="80"/>
    </row>
    <row r="12" spans="4:18" s="59" customFormat="1" ht="16" customHeight="1" thickBot="1">
      <c r="D12" s="94"/>
      <c r="E12" s="33" t="s">
        <v>151</v>
      </c>
      <c r="F12" s="80"/>
      <c r="G12" s="80"/>
      <c r="H12" s="19">
        <f>NPV(Inputs!T25,M60:M90,M59)</f>
        <v>655968.19272238063</v>
      </c>
      <c r="I12" s="81"/>
      <c r="J12" s="81"/>
      <c r="K12" s="80"/>
      <c r="L12" s="80"/>
      <c r="M12" s="80"/>
      <c r="N12" s="80"/>
      <c r="O12" s="80"/>
      <c r="P12" s="80"/>
      <c r="Q12" s="80"/>
      <c r="R12" s="80"/>
    </row>
    <row r="13" spans="4:18" s="59" customFormat="1" ht="5" customHeight="1" thickBot="1">
      <c r="D13" s="94"/>
      <c r="E13" s="33"/>
      <c r="F13" s="80"/>
      <c r="G13" s="80"/>
      <c r="H13" s="80"/>
      <c r="I13" s="81"/>
      <c r="J13" s="81"/>
      <c r="K13" s="80"/>
      <c r="L13" s="80"/>
      <c r="M13" s="80"/>
      <c r="N13" s="80"/>
      <c r="O13" s="80"/>
      <c r="P13" s="80"/>
      <c r="Q13" s="80"/>
      <c r="R13" s="80"/>
    </row>
    <row r="14" spans="4:18" s="59" customFormat="1" ht="16" customHeight="1" thickBot="1">
      <c r="D14" s="94"/>
      <c r="E14" s="33" t="s">
        <v>152</v>
      </c>
      <c r="F14" s="80"/>
      <c r="G14" s="80"/>
      <c r="H14" s="49">
        <f>IRR(R59:R89,0.1)</f>
        <v>0.12787572437553929</v>
      </c>
      <c r="I14" s="81"/>
      <c r="J14" s="81"/>
      <c r="K14" s="80"/>
      <c r="L14" s="80"/>
      <c r="M14" s="80"/>
      <c r="N14" s="80"/>
      <c r="O14" s="80"/>
      <c r="P14" s="80"/>
      <c r="Q14" s="80"/>
      <c r="R14" s="80"/>
    </row>
    <row r="15" spans="4:18" s="59" customFormat="1" ht="5" customHeight="1" thickBot="1">
      <c r="D15" s="94"/>
      <c r="E15" s="33"/>
      <c r="F15" s="80"/>
      <c r="G15" s="80"/>
      <c r="H15" s="80"/>
      <c r="I15" s="81"/>
      <c r="J15" s="81"/>
      <c r="K15" s="80"/>
      <c r="L15" s="80"/>
      <c r="M15" s="80"/>
      <c r="N15" s="80"/>
      <c r="O15" s="80"/>
      <c r="P15" s="80"/>
      <c r="Q15" s="80"/>
      <c r="R15" s="80"/>
    </row>
    <row r="16" spans="4:18" s="59" customFormat="1" ht="16" customHeight="1" thickBot="1">
      <c r="D16" s="94"/>
      <c r="E16" s="33" t="s">
        <v>153</v>
      </c>
      <c r="F16" s="80"/>
      <c r="G16" s="80"/>
      <c r="H16" s="21">
        <f>SUM(P59:P89)/SUM(Q59:Q89)</f>
        <v>0.33203470026425674</v>
      </c>
      <c r="I16" s="81"/>
      <c r="J16" s="81"/>
      <c r="K16" s="80"/>
      <c r="L16" s="80"/>
      <c r="M16" s="80"/>
      <c r="N16" s="80"/>
      <c r="O16" s="80"/>
      <c r="P16" s="80"/>
      <c r="Q16" s="80"/>
      <c r="R16" s="80"/>
    </row>
    <row r="17" spans="4:18" s="59" customFormat="1" ht="5" customHeight="1" thickBot="1">
      <c r="D17" s="94"/>
      <c r="E17" s="82"/>
      <c r="F17" s="83"/>
      <c r="G17" s="83"/>
      <c r="H17" s="83"/>
      <c r="I17" s="84"/>
      <c r="J17" s="81"/>
      <c r="K17" s="80"/>
      <c r="L17" s="80"/>
      <c r="M17" s="80"/>
      <c r="N17" s="80"/>
      <c r="O17" s="80"/>
      <c r="P17" s="80"/>
      <c r="Q17" s="80"/>
      <c r="R17" s="80"/>
    </row>
    <row r="18" spans="4:18" s="59" customFormat="1" ht="14" customHeight="1" thickBot="1">
      <c r="D18" s="94"/>
      <c r="E18" s="80"/>
      <c r="F18" s="80"/>
      <c r="G18" s="80"/>
      <c r="H18" s="80"/>
      <c r="I18" s="80"/>
      <c r="J18" s="81"/>
      <c r="K18" s="80"/>
      <c r="L18" s="80"/>
      <c r="M18" s="80"/>
      <c r="N18" s="80"/>
      <c r="O18" s="80"/>
      <c r="P18" s="80"/>
      <c r="Q18" s="80"/>
      <c r="R18" s="80"/>
    </row>
    <row r="19" spans="4:18" s="59" customFormat="1" ht="14" customHeight="1">
      <c r="D19" s="94"/>
      <c r="E19" s="110" t="s">
        <v>154</v>
      </c>
      <c r="F19" s="111"/>
      <c r="G19" s="111"/>
      <c r="H19" s="111"/>
      <c r="I19" s="111"/>
      <c r="J19" s="81"/>
      <c r="K19" s="80"/>
      <c r="L19" s="80"/>
      <c r="M19" s="80"/>
      <c r="N19" s="80"/>
      <c r="O19" s="80"/>
      <c r="P19" s="80"/>
      <c r="Q19" s="80"/>
      <c r="R19" s="80"/>
    </row>
    <row r="20" spans="4:18" s="59" customFormat="1" ht="14" customHeight="1" thickBot="1">
      <c r="D20" s="94"/>
      <c r="E20" s="112"/>
      <c r="F20" s="113"/>
      <c r="G20" s="113"/>
      <c r="H20" s="113"/>
      <c r="I20" s="113"/>
      <c r="J20" s="81"/>
      <c r="K20" s="80"/>
      <c r="L20" s="80"/>
      <c r="M20" s="80"/>
      <c r="N20" s="80"/>
      <c r="O20" s="80"/>
      <c r="P20" s="80"/>
      <c r="Q20" s="80"/>
      <c r="R20" s="80"/>
    </row>
    <row r="21" spans="4:18" s="59" customFormat="1" ht="14" customHeight="1">
      <c r="D21" s="94"/>
      <c r="E21" s="80"/>
      <c r="F21" s="80"/>
      <c r="G21" s="80"/>
      <c r="H21" s="80"/>
      <c r="I21" s="80"/>
      <c r="J21" s="81"/>
      <c r="K21" s="80"/>
      <c r="L21" s="80"/>
      <c r="M21" s="80"/>
      <c r="N21" s="80"/>
      <c r="O21" s="80"/>
      <c r="P21" s="80"/>
      <c r="Q21" s="80"/>
      <c r="R21" s="80"/>
    </row>
    <row r="22" spans="4:18" s="59" customFormat="1" ht="14" customHeight="1">
      <c r="D22" s="94"/>
      <c r="E22" s="80"/>
      <c r="F22" s="80"/>
      <c r="G22" s="80"/>
      <c r="H22" s="80"/>
      <c r="I22" s="80"/>
      <c r="J22" s="81"/>
      <c r="K22" s="80"/>
      <c r="L22" s="80"/>
      <c r="M22" s="80"/>
      <c r="N22" s="80"/>
      <c r="O22" s="80"/>
      <c r="P22" s="80"/>
      <c r="Q22" s="80"/>
      <c r="R22" s="80"/>
    </row>
    <row r="23" spans="4:18" s="59" customFormat="1" ht="14" customHeight="1">
      <c r="D23" s="94"/>
      <c r="E23" s="80"/>
      <c r="F23" s="80"/>
      <c r="G23" s="80"/>
      <c r="H23" s="80"/>
      <c r="I23" s="80"/>
      <c r="J23" s="81"/>
      <c r="K23" s="80"/>
      <c r="L23" s="80"/>
      <c r="M23" s="80"/>
      <c r="N23" s="80"/>
      <c r="O23" s="80"/>
      <c r="P23" s="80"/>
      <c r="Q23" s="80"/>
      <c r="R23" s="80"/>
    </row>
    <row r="24" spans="4:18" s="59" customFormat="1" ht="14" customHeight="1">
      <c r="D24" s="94"/>
      <c r="E24" s="80"/>
      <c r="F24" s="80"/>
      <c r="G24" s="80"/>
      <c r="H24" s="80"/>
      <c r="I24" s="80"/>
      <c r="J24" s="81"/>
      <c r="K24" s="80"/>
      <c r="L24" s="80"/>
      <c r="M24" s="80"/>
      <c r="N24" s="80"/>
      <c r="O24" s="80"/>
      <c r="P24" s="80"/>
      <c r="Q24" s="80"/>
      <c r="R24" s="80"/>
    </row>
    <row r="25" spans="4:18" s="59" customFormat="1" ht="14" customHeight="1">
      <c r="D25" s="94"/>
      <c r="E25" s="80"/>
      <c r="F25" s="80"/>
      <c r="G25" s="80"/>
      <c r="H25" s="80"/>
      <c r="I25" s="80"/>
      <c r="J25" s="81"/>
      <c r="K25" s="80"/>
      <c r="L25" s="80"/>
      <c r="M25" s="80"/>
      <c r="N25" s="80"/>
      <c r="O25" s="80"/>
      <c r="P25" s="80"/>
      <c r="Q25" s="80"/>
      <c r="R25" s="80"/>
    </row>
    <row r="26" spans="4:18" s="59" customFormat="1" ht="14" customHeight="1">
      <c r="D26" s="94"/>
      <c r="E26" s="80"/>
      <c r="F26" s="80"/>
      <c r="G26" s="80"/>
      <c r="H26" s="80"/>
      <c r="I26" s="80"/>
      <c r="J26" s="81"/>
      <c r="K26" s="80"/>
      <c r="L26" s="80"/>
      <c r="M26" s="80"/>
      <c r="N26" s="80"/>
      <c r="O26" s="80"/>
      <c r="P26" s="80"/>
      <c r="Q26" s="80"/>
      <c r="R26" s="80"/>
    </row>
    <row r="27" spans="4:18" s="59" customFormat="1" ht="14" customHeight="1">
      <c r="D27" s="94"/>
      <c r="E27" s="80"/>
      <c r="F27" s="80"/>
      <c r="G27" s="80"/>
      <c r="H27" s="80"/>
      <c r="I27" s="80"/>
      <c r="J27" s="81"/>
      <c r="K27" s="80"/>
      <c r="L27" s="80"/>
      <c r="M27" s="80"/>
      <c r="N27" s="80"/>
      <c r="O27" s="80"/>
      <c r="P27" s="80"/>
      <c r="Q27" s="80"/>
      <c r="R27" s="80"/>
    </row>
    <row r="28" spans="4:18" s="59" customFormat="1" ht="14" customHeight="1">
      <c r="D28" s="94"/>
      <c r="E28" s="80"/>
      <c r="F28" s="80"/>
      <c r="G28" s="80"/>
      <c r="H28" s="80"/>
      <c r="I28" s="80"/>
      <c r="J28" s="81"/>
      <c r="K28" s="80"/>
      <c r="L28" s="80"/>
      <c r="M28" s="80"/>
      <c r="N28" s="80"/>
      <c r="O28" s="80"/>
      <c r="P28" s="80"/>
      <c r="Q28" s="80"/>
      <c r="R28" s="80"/>
    </row>
    <row r="29" spans="4:18" s="59" customFormat="1" ht="14" customHeight="1">
      <c r="D29" s="94"/>
      <c r="E29" s="80"/>
      <c r="F29" s="80"/>
      <c r="G29" s="80"/>
      <c r="H29" s="80"/>
      <c r="I29" s="80"/>
      <c r="J29" s="81"/>
      <c r="K29" s="80"/>
      <c r="L29" s="80"/>
      <c r="M29" s="80"/>
      <c r="N29" s="80"/>
      <c r="O29" s="80"/>
      <c r="P29" s="80"/>
      <c r="Q29" s="80"/>
      <c r="R29" s="80"/>
    </row>
    <row r="30" spans="4:18" s="59" customFormat="1" ht="14" customHeight="1">
      <c r="D30" s="94"/>
      <c r="E30" s="80"/>
      <c r="F30" s="80"/>
      <c r="G30" s="80"/>
      <c r="H30" s="80"/>
      <c r="I30" s="80"/>
      <c r="J30" s="81"/>
      <c r="K30" s="80"/>
      <c r="L30" s="80"/>
      <c r="M30" s="80"/>
      <c r="N30" s="80"/>
      <c r="O30" s="80"/>
      <c r="P30" s="80"/>
      <c r="Q30" s="80"/>
      <c r="R30" s="80"/>
    </row>
    <row r="31" spans="4:18" s="59" customFormat="1" ht="14" customHeight="1">
      <c r="D31" s="94"/>
      <c r="E31" s="80"/>
      <c r="F31" s="80"/>
      <c r="G31" s="80"/>
      <c r="H31" s="80"/>
      <c r="I31" s="80"/>
      <c r="J31" s="81"/>
      <c r="K31" s="80"/>
      <c r="L31" s="80"/>
      <c r="M31" s="80"/>
      <c r="N31" s="80"/>
      <c r="O31" s="80"/>
      <c r="P31" s="80"/>
      <c r="Q31" s="80"/>
      <c r="R31" s="80"/>
    </row>
    <row r="32" spans="4:18" s="59" customFormat="1" ht="14" customHeight="1" thickBot="1">
      <c r="D32" s="82"/>
      <c r="E32" s="83"/>
      <c r="F32" s="83"/>
      <c r="G32" s="83"/>
      <c r="H32" s="83"/>
      <c r="I32" s="83"/>
      <c r="J32" s="84"/>
      <c r="K32" s="80"/>
      <c r="L32" s="80"/>
      <c r="M32" s="80"/>
      <c r="N32" s="80"/>
      <c r="O32" s="80"/>
      <c r="P32" s="80"/>
      <c r="Q32" s="80"/>
      <c r="R32" s="80"/>
    </row>
    <row r="33" spans="5:17" s="59" customFormat="1" ht="14" customHeight="1">
      <c r="E33" s="80"/>
      <c r="F33" s="80"/>
      <c r="G33" s="80"/>
      <c r="H33" s="80"/>
      <c r="I33" s="80"/>
      <c r="K33" s="80"/>
      <c r="L33" s="80"/>
      <c r="M33" s="80"/>
      <c r="N33" s="80"/>
      <c r="O33" s="80"/>
      <c r="P33" s="80"/>
      <c r="Q33" s="80"/>
    </row>
    <row r="34" spans="5:17" s="59" customFormat="1" ht="14" customHeight="1">
      <c r="E34" s="80"/>
      <c r="F34" s="80"/>
      <c r="G34" s="80"/>
      <c r="H34" s="80"/>
      <c r="I34" s="80"/>
    </row>
    <row r="35" spans="5:17" s="59" customFormat="1" ht="14" customHeight="1">
      <c r="E35" s="80"/>
      <c r="F35" s="80"/>
      <c r="G35" s="80"/>
      <c r="H35" s="80"/>
      <c r="I35" s="80"/>
    </row>
    <row r="36" spans="5:17" s="59" customFormat="1" ht="14" customHeight="1">
      <c r="E36" s="80"/>
      <c r="F36" s="80"/>
      <c r="G36" s="80"/>
      <c r="H36" s="80"/>
      <c r="I36" s="80"/>
    </row>
    <row r="37" spans="5:17" s="59" customFormat="1" ht="14" customHeight="1">
      <c r="E37" s="80"/>
      <c r="F37" s="80"/>
      <c r="G37" s="80"/>
      <c r="H37" s="80"/>
      <c r="I37" s="80"/>
    </row>
    <row r="38" spans="5:17" s="59" customFormat="1" ht="14" customHeight="1">
      <c r="E38" s="80"/>
      <c r="F38" s="80"/>
      <c r="G38" s="80"/>
      <c r="H38" s="80"/>
      <c r="I38" s="80"/>
    </row>
    <row r="39" spans="5:17" s="59" customFormat="1" ht="14" customHeight="1">
      <c r="E39" s="80"/>
      <c r="F39" s="80"/>
      <c r="G39" s="80"/>
      <c r="H39" s="80"/>
      <c r="I39" s="80"/>
    </row>
    <row r="40" spans="5:17" s="59" customFormat="1" ht="14" customHeight="1">
      <c r="E40" s="80"/>
      <c r="F40" s="80"/>
      <c r="G40" s="80"/>
      <c r="H40" s="80"/>
      <c r="I40" s="80"/>
    </row>
    <row r="41" spans="5:17" s="59" customFormat="1" ht="14" customHeight="1">
      <c r="E41" s="80"/>
      <c r="F41" s="80"/>
      <c r="G41" s="80"/>
      <c r="H41" s="80"/>
      <c r="I41" s="80"/>
    </row>
    <row r="42" spans="5:17" s="59" customFormat="1" ht="14" customHeight="1">
      <c r="E42" s="80"/>
      <c r="F42" s="80"/>
      <c r="G42" s="80"/>
      <c r="H42" s="80"/>
      <c r="I42" s="80"/>
    </row>
    <row r="43" spans="5:17" s="59" customFormat="1" ht="14" customHeight="1">
      <c r="E43" s="80"/>
      <c r="F43" s="80"/>
      <c r="G43" s="80"/>
      <c r="H43" s="80"/>
      <c r="I43" s="80"/>
    </row>
    <row r="44" spans="5:17" s="59" customFormat="1" ht="14" customHeight="1">
      <c r="E44" s="80"/>
      <c r="F44" s="80"/>
      <c r="G44" s="80"/>
      <c r="H44" s="80"/>
      <c r="I44" s="80"/>
    </row>
    <row r="45" spans="5:17" s="59" customFormat="1" ht="14" customHeight="1">
      <c r="E45" s="80"/>
      <c r="F45" s="80"/>
      <c r="G45" s="80"/>
      <c r="H45" s="80"/>
      <c r="I45" s="80"/>
    </row>
    <row r="46" spans="5:17" s="59" customFormat="1" ht="14" customHeight="1">
      <c r="E46" s="80"/>
      <c r="F46" s="80"/>
      <c r="G46" s="80"/>
      <c r="H46" s="80"/>
      <c r="I46" s="80"/>
    </row>
    <row r="47" spans="5:17" s="59" customFormat="1" ht="14" customHeight="1">
      <c r="E47" s="80"/>
      <c r="F47" s="80"/>
      <c r="G47" s="80"/>
      <c r="H47" s="80"/>
      <c r="I47" s="80"/>
    </row>
    <row r="48" spans="5:17" s="59" customFormat="1" ht="14" customHeight="1">
      <c r="E48" s="80"/>
      <c r="F48" s="80"/>
      <c r="G48" s="80"/>
      <c r="H48" s="80"/>
      <c r="I48" s="80"/>
    </row>
    <row r="49" spans="5:19" s="59" customFormat="1" ht="14" customHeight="1">
      <c r="E49" s="80"/>
      <c r="F49" s="80"/>
      <c r="G49" s="80"/>
      <c r="H49" s="80"/>
      <c r="I49" s="80"/>
    </row>
    <row r="50" spans="5:19" s="59" customFormat="1" ht="14" customHeight="1">
      <c r="E50" s="80"/>
      <c r="F50" s="80"/>
      <c r="G50" s="80"/>
      <c r="H50" s="80"/>
      <c r="I50" s="80"/>
    </row>
    <row r="51" spans="5:19" s="59" customFormat="1" ht="14" customHeight="1">
      <c r="E51" s="80"/>
      <c r="F51" s="80"/>
      <c r="G51" s="80"/>
      <c r="H51" s="80"/>
      <c r="I51" s="80"/>
    </row>
    <row r="52" spans="5:19" s="59" customFormat="1" ht="14" customHeight="1">
      <c r="E52" s="80"/>
      <c r="F52" s="80"/>
      <c r="G52" s="80"/>
      <c r="H52" s="80"/>
      <c r="I52" s="80"/>
    </row>
    <row r="53" spans="5:19" s="59" customFormat="1" ht="14" customHeight="1">
      <c r="E53" s="80"/>
      <c r="F53" s="80"/>
      <c r="G53" s="80"/>
      <c r="H53" s="80"/>
      <c r="I53" s="80"/>
    </row>
    <row r="54" spans="5:19" s="59" customFormat="1" ht="14" customHeight="1">
      <c r="E54" s="80"/>
      <c r="F54" s="80"/>
      <c r="G54" s="80"/>
      <c r="H54" s="80"/>
      <c r="I54" s="80"/>
    </row>
    <row r="55" spans="5:19" s="59" customFormat="1" ht="5" customHeight="1">
      <c r="E55" s="80"/>
      <c r="F55" s="80"/>
      <c r="G55" s="80"/>
      <c r="H55" s="80"/>
      <c r="I55" s="80"/>
    </row>
    <row r="56" spans="5:19" s="59" customFormat="1" ht="57" customHeight="1" thickBot="1">
      <c r="E56" s="80"/>
      <c r="F56" s="80"/>
      <c r="G56" s="80"/>
      <c r="H56" s="80"/>
      <c r="I56" s="80"/>
    </row>
    <row r="57" spans="5:19" ht="42" customHeight="1" thickBot="1">
      <c r="E57" s="3"/>
      <c r="F57" s="3"/>
      <c r="G57" s="3"/>
      <c r="H57" s="3"/>
      <c r="I57" s="3"/>
      <c r="J57" s="107" t="s">
        <v>137</v>
      </c>
      <c r="K57" s="107"/>
      <c r="L57" s="107" t="s">
        <v>143</v>
      </c>
      <c r="M57" s="107"/>
      <c r="P57" s="108" t="s">
        <v>142</v>
      </c>
      <c r="Q57" s="109"/>
    </row>
    <row r="58" spans="5:19" ht="43" thickBot="1">
      <c r="E58" s="5" t="s">
        <v>150</v>
      </c>
      <c r="F58" s="5">
        <v>2.3578223650638797</v>
      </c>
      <c r="G58" s="5" t="s">
        <v>110</v>
      </c>
      <c r="H58" s="5" t="s">
        <v>112</v>
      </c>
      <c r="I58" s="5" t="s">
        <v>113</v>
      </c>
      <c r="J58" s="5" t="s">
        <v>135</v>
      </c>
      <c r="K58" s="5" t="s">
        <v>136</v>
      </c>
      <c r="L58" s="5" t="s">
        <v>81</v>
      </c>
      <c r="M58" s="5" t="s">
        <v>145</v>
      </c>
      <c r="N58" s="71" t="s">
        <v>146</v>
      </c>
      <c r="O58" s="69" t="s">
        <v>147</v>
      </c>
      <c r="P58" s="71" t="s">
        <v>81</v>
      </c>
      <c r="Q58" s="70" t="s">
        <v>111</v>
      </c>
      <c r="R58" s="70" t="s">
        <v>144</v>
      </c>
      <c r="S58" s="70" t="s">
        <v>148</v>
      </c>
    </row>
    <row r="59" spans="5:19" ht="14">
      <c r="E59" s="58">
        <f>Inputs!T27</f>
        <v>2012</v>
      </c>
      <c r="F59" s="60">
        <f>+Inputs!F19</f>
        <v>1703.07</v>
      </c>
      <c r="G59" s="60">
        <f>+Inputs!F21</f>
        <v>19200</v>
      </c>
      <c r="H59" s="60">
        <v>0</v>
      </c>
      <c r="I59" s="60">
        <v>0</v>
      </c>
      <c r="J59" s="63">
        <f>+Beneficios!G14</f>
        <v>0</v>
      </c>
      <c r="K59" s="63">
        <f>+Beneficios!H14</f>
        <v>0</v>
      </c>
      <c r="L59" s="60">
        <f>G59+H59+I59</f>
        <v>19200</v>
      </c>
      <c r="M59" s="60">
        <f>Beneficios!I14</f>
        <v>0</v>
      </c>
      <c r="N59" s="75">
        <f>1/((1+Inputs!$T$25)^O59)</f>
        <v>1</v>
      </c>
      <c r="O59" s="58">
        <v>0</v>
      </c>
      <c r="P59" s="77">
        <f>L59*N59</f>
        <v>19200</v>
      </c>
      <c r="Q59" s="77">
        <f>M59*N59</f>
        <v>0</v>
      </c>
      <c r="R59" s="77">
        <f>Q59-P59</f>
        <v>-19200</v>
      </c>
      <c r="S59" s="77">
        <f>+R59</f>
        <v>-19200</v>
      </c>
    </row>
    <row r="60" spans="5:19" ht="14">
      <c r="E60" s="58">
        <f>E59+1</f>
        <v>2013</v>
      </c>
      <c r="F60" s="60">
        <v>0</v>
      </c>
      <c r="G60" s="60">
        <v>0</v>
      </c>
      <c r="H60" s="60">
        <f>+Inputs!F29</f>
        <v>3000</v>
      </c>
      <c r="I60" s="60">
        <v>0</v>
      </c>
      <c r="J60" s="63">
        <f>+Beneficios!G15</f>
        <v>0</v>
      </c>
      <c r="K60" s="63">
        <f>+Beneficios!H15</f>
        <v>0</v>
      </c>
      <c r="L60" s="60">
        <f t="shared" ref="L60:L88" si="0">G60+H60+I60</f>
        <v>3000</v>
      </c>
      <c r="M60" s="60">
        <f>Beneficios!I15</f>
        <v>0</v>
      </c>
      <c r="N60" s="75">
        <f>1/((1+Inputs!$T$25)^O60)</f>
        <v>0.95147478591817325</v>
      </c>
      <c r="O60" s="58">
        <v>1</v>
      </c>
      <c r="P60" s="72">
        <f t="shared" ref="P60:P89" si="1">L60*N60</f>
        <v>2854.4243577545199</v>
      </c>
      <c r="Q60" s="72">
        <f t="shared" ref="Q60:Q88" si="2">M60*N60</f>
        <v>0</v>
      </c>
      <c r="R60" s="72">
        <f t="shared" ref="R60:R89" si="3">Q60-P60</f>
        <v>-2854.4243577545199</v>
      </c>
      <c r="S60" s="72">
        <f>+S59+R60</f>
        <v>-22054.42435775452</v>
      </c>
    </row>
    <row r="61" spans="5:19" ht="14">
      <c r="E61" s="58">
        <f t="shared" ref="E61:E89" si="4">E60+1</f>
        <v>2014</v>
      </c>
      <c r="F61" s="60">
        <v>0</v>
      </c>
      <c r="G61" s="60">
        <v>0</v>
      </c>
      <c r="H61" s="60">
        <f>+H60</f>
        <v>3000</v>
      </c>
      <c r="I61" s="60">
        <v>0</v>
      </c>
      <c r="J61" s="63">
        <f>+Beneficios!G16</f>
        <v>0</v>
      </c>
      <c r="K61" s="63">
        <f>+Beneficios!H16</f>
        <v>0</v>
      </c>
      <c r="L61" s="60">
        <f t="shared" si="0"/>
        <v>3000</v>
      </c>
      <c r="M61" s="60">
        <f>Beneficios!I16</f>
        <v>0</v>
      </c>
      <c r="N61" s="75">
        <f>1/((1+Inputs!$T$25)^O61)</f>
        <v>0.90530426823803356</v>
      </c>
      <c r="O61" s="58">
        <v>2</v>
      </c>
      <c r="P61" s="72">
        <f t="shared" si="1"/>
        <v>2715.9128047141007</v>
      </c>
      <c r="Q61" s="72">
        <f t="shared" si="2"/>
        <v>0</v>
      </c>
      <c r="R61" s="72">
        <f t="shared" si="3"/>
        <v>-2715.9128047141007</v>
      </c>
      <c r="S61" s="72">
        <f t="shared" ref="S61:S89" si="5">+S60+R61</f>
        <v>-24770.337162468622</v>
      </c>
    </row>
    <row r="62" spans="5:19" ht="14">
      <c r="E62" s="58">
        <f t="shared" si="4"/>
        <v>2015</v>
      </c>
      <c r="F62" s="60">
        <v>0</v>
      </c>
      <c r="G62" s="60">
        <v>0</v>
      </c>
      <c r="H62" s="60">
        <f t="shared" ref="H62:H88" si="6">+H61</f>
        <v>3000</v>
      </c>
      <c r="I62" s="60">
        <f>+Inputs!F31</f>
        <v>5344.45</v>
      </c>
      <c r="J62" s="63">
        <f>+Beneficios!G17</f>
        <v>1210</v>
      </c>
      <c r="K62" s="63">
        <f>+Beneficios!H17</f>
        <v>403.33333333333337</v>
      </c>
      <c r="L62" s="60">
        <f t="shared" si="0"/>
        <v>8344.4500000000007</v>
      </c>
      <c r="M62" s="60">
        <f>Beneficios!I17</f>
        <v>605</v>
      </c>
      <c r="N62" s="75">
        <f>1/((1+Inputs!$T$25)^O62)</f>
        <v>0.86137418481259131</v>
      </c>
      <c r="O62" s="58">
        <v>3</v>
      </c>
      <c r="P62" s="72">
        <f t="shared" si="1"/>
        <v>7187.6938164594285</v>
      </c>
      <c r="Q62" s="72">
        <f t="shared" si="2"/>
        <v>521.13138181161776</v>
      </c>
      <c r="R62" s="72">
        <f t="shared" si="3"/>
        <v>-6666.5624346478107</v>
      </c>
      <c r="S62" s="72">
        <f t="shared" si="5"/>
        <v>-31436.899597116433</v>
      </c>
    </row>
    <row r="63" spans="5:19" ht="14">
      <c r="E63" s="58">
        <f t="shared" si="4"/>
        <v>2016</v>
      </c>
      <c r="F63" s="60">
        <v>0</v>
      </c>
      <c r="G63" s="60">
        <v>0</v>
      </c>
      <c r="H63" s="60">
        <f t="shared" si="6"/>
        <v>3000</v>
      </c>
      <c r="I63" s="60">
        <f>+I62</f>
        <v>5344.45</v>
      </c>
      <c r="J63" s="63">
        <f>+Beneficios!G18</f>
        <v>1210</v>
      </c>
      <c r="K63" s="63">
        <f>+Beneficios!H18</f>
        <v>403.33333333333337</v>
      </c>
      <c r="L63" s="60">
        <f t="shared" si="0"/>
        <v>8344.4500000000007</v>
      </c>
      <c r="M63" s="60">
        <f>Beneficios!I18</f>
        <v>605</v>
      </c>
      <c r="N63" s="75">
        <f>1/((1+Inputs!$T$25)^O63)</f>
        <v>0.81957581809000124</v>
      </c>
      <c r="O63" s="58">
        <v>4</v>
      </c>
      <c r="P63" s="72">
        <f t="shared" si="1"/>
        <v>6838.9094352611119</v>
      </c>
      <c r="Q63" s="72">
        <f t="shared" si="2"/>
        <v>495.84336994445073</v>
      </c>
      <c r="R63" s="72">
        <f t="shared" si="3"/>
        <v>-6343.0660653166615</v>
      </c>
      <c r="S63" s="72">
        <f t="shared" si="5"/>
        <v>-37779.965662433096</v>
      </c>
    </row>
    <row r="64" spans="5:19" ht="14">
      <c r="E64" s="58">
        <f t="shared" si="4"/>
        <v>2017</v>
      </c>
      <c r="F64" s="60">
        <v>0</v>
      </c>
      <c r="G64" s="60">
        <v>0</v>
      </c>
      <c r="H64" s="60">
        <f t="shared" si="6"/>
        <v>3000</v>
      </c>
      <c r="I64" s="60">
        <f t="shared" ref="I64:I89" si="7">+I63</f>
        <v>5344.45</v>
      </c>
      <c r="J64" s="63">
        <f>+Beneficios!G19</f>
        <v>1210</v>
      </c>
      <c r="K64" s="63">
        <f>+Beneficios!H19</f>
        <v>403.33333333333337</v>
      </c>
      <c r="L64" s="60">
        <f t="shared" si="0"/>
        <v>8344.4500000000007</v>
      </c>
      <c r="M64" s="60">
        <f>Beneficios!I19</f>
        <v>605</v>
      </c>
      <c r="N64" s="75">
        <f>1/((1+Inputs!$T$25)^O64)</f>
        <v>0.7798057260608956</v>
      </c>
      <c r="O64" s="58">
        <v>5</v>
      </c>
      <c r="P64" s="72">
        <f t="shared" si="1"/>
        <v>6507.0498908288409</v>
      </c>
      <c r="Q64" s="72">
        <f t="shared" si="2"/>
        <v>471.78246426684183</v>
      </c>
      <c r="R64" s="72">
        <f t="shared" si="3"/>
        <v>-6035.2674265619989</v>
      </c>
      <c r="S64" s="72">
        <f t="shared" si="5"/>
        <v>-43815.233088995097</v>
      </c>
    </row>
    <row r="65" spans="5:19" ht="14">
      <c r="E65" s="58">
        <f t="shared" si="4"/>
        <v>2018</v>
      </c>
      <c r="F65" s="60">
        <v>0</v>
      </c>
      <c r="G65" s="60">
        <v>0</v>
      </c>
      <c r="H65" s="60">
        <f t="shared" si="6"/>
        <v>3000</v>
      </c>
      <c r="I65" s="60">
        <f t="shared" si="7"/>
        <v>5344.45</v>
      </c>
      <c r="J65" s="63">
        <f>+Beneficios!G20</f>
        <v>19404</v>
      </c>
      <c r="K65" s="63">
        <f>+Beneficios!H20</f>
        <v>6468</v>
      </c>
      <c r="L65" s="60">
        <f t="shared" si="0"/>
        <v>8344.4500000000007</v>
      </c>
      <c r="M65" s="60">
        <f>Beneficios!I20</f>
        <v>9702</v>
      </c>
      <c r="N65" s="75">
        <f>1/((1+Inputs!$T$25)^O65)</f>
        <v>0.74196548626155623</v>
      </c>
      <c r="O65" s="58">
        <v>6</v>
      </c>
      <c r="P65" s="72">
        <f t="shared" si="1"/>
        <v>6191.2939018352436</v>
      </c>
      <c r="Q65" s="72">
        <f t="shared" si="2"/>
        <v>7198.5491477096184</v>
      </c>
      <c r="R65" s="72">
        <f t="shared" si="3"/>
        <v>1007.2552458743749</v>
      </c>
      <c r="S65" s="72">
        <f t="shared" si="5"/>
        <v>-42807.977843120723</v>
      </c>
    </row>
    <row r="66" spans="5:19" ht="14">
      <c r="E66" s="58">
        <f t="shared" si="4"/>
        <v>2019</v>
      </c>
      <c r="F66" s="60">
        <v>0</v>
      </c>
      <c r="G66" s="60">
        <v>0</v>
      </c>
      <c r="H66" s="60">
        <f t="shared" si="6"/>
        <v>3000</v>
      </c>
      <c r="I66" s="60">
        <f t="shared" si="7"/>
        <v>5344.45</v>
      </c>
      <c r="J66" s="63">
        <f>+Beneficios!G21</f>
        <v>29106</v>
      </c>
      <c r="K66" s="63">
        <f>+Beneficios!H21</f>
        <v>9702</v>
      </c>
      <c r="L66" s="60">
        <f t="shared" si="0"/>
        <v>8344.4500000000007</v>
      </c>
      <c r="M66" s="60">
        <f>Beneficios!I21</f>
        <v>14553</v>
      </c>
      <c r="N66" s="75">
        <f>1/((1+Inputs!$T$25)^O66)</f>
        <v>0.70596145219938755</v>
      </c>
      <c r="O66" s="58">
        <v>7</v>
      </c>
      <c r="P66" s="72">
        <f t="shared" si="1"/>
        <v>5890.8600398051803</v>
      </c>
      <c r="Q66" s="72">
        <f t="shared" si="2"/>
        <v>10273.857013857687</v>
      </c>
      <c r="R66" s="72">
        <f t="shared" si="3"/>
        <v>4382.9969740525066</v>
      </c>
      <c r="S66" s="72">
        <f t="shared" si="5"/>
        <v>-38424.980869068218</v>
      </c>
    </row>
    <row r="67" spans="5:19" ht="14">
      <c r="E67" s="58">
        <f t="shared" si="4"/>
        <v>2020</v>
      </c>
      <c r="F67" s="60">
        <v>0</v>
      </c>
      <c r="G67" s="60">
        <v>0</v>
      </c>
      <c r="H67" s="60">
        <f t="shared" si="6"/>
        <v>3000</v>
      </c>
      <c r="I67" s="60">
        <f t="shared" si="7"/>
        <v>5344.45</v>
      </c>
      <c r="J67" s="63">
        <f>+Beneficios!G22</f>
        <v>36377</v>
      </c>
      <c r="K67" s="63">
        <f>+Beneficios!H22</f>
        <v>12125.666666666666</v>
      </c>
      <c r="L67" s="60">
        <f t="shared" si="0"/>
        <v>8344.4500000000007</v>
      </c>
      <c r="M67" s="60">
        <f>Beneficios!I22</f>
        <v>18188.5</v>
      </c>
      <c r="N67" s="75">
        <f>1/((1+Inputs!$T$25)^O67)</f>
        <v>0.67170452159789484</v>
      </c>
      <c r="O67" s="58">
        <v>8</v>
      </c>
      <c r="P67" s="72">
        <f t="shared" si="1"/>
        <v>5605.0047952475543</v>
      </c>
      <c r="Q67" s="72">
        <f t="shared" si="2"/>
        <v>12217.297691083309</v>
      </c>
      <c r="R67" s="72">
        <f t="shared" si="3"/>
        <v>6612.2928958357552</v>
      </c>
      <c r="S67" s="72">
        <f t="shared" si="5"/>
        <v>-31812.687973232463</v>
      </c>
    </row>
    <row r="68" spans="5:19" ht="14">
      <c r="E68" s="58">
        <f t="shared" si="4"/>
        <v>2021</v>
      </c>
      <c r="F68" s="60">
        <v>0</v>
      </c>
      <c r="G68" s="60">
        <v>0</v>
      </c>
      <c r="H68" s="60">
        <f t="shared" si="6"/>
        <v>3000</v>
      </c>
      <c r="I68" s="60">
        <f t="shared" si="7"/>
        <v>5344.45</v>
      </c>
      <c r="J68" s="63">
        <f>+Beneficios!G23</f>
        <v>41228</v>
      </c>
      <c r="K68" s="63">
        <f>+Beneficios!H23</f>
        <v>13742.666666666666</v>
      </c>
      <c r="L68" s="60">
        <f t="shared" si="0"/>
        <v>8344.4500000000007</v>
      </c>
      <c r="M68" s="60">
        <f>Beneficios!I23</f>
        <v>20614</v>
      </c>
      <c r="N68" s="75">
        <f>1/((1+Inputs!$T$25)^O68)</f>
        <v>0.639109915887626</v>
      </c>
      <c r="O68" s="58">
        <v>9</v>
      </c>
      <c r="P68" s="72">
        <f t="shared" si="1"/>
        <v>5333.0207376285016</v>
      </c>
      <c r="Q68" s="72">
        <f>M68*N68</f>
        <v>13174.611806107523</v>
      </c>
      <c r="R68" s="72">
        <f t="shared" si="3"/>
        <v>7841.5910684790215</v>
      </c>
      <c r="S68" s="72">
        <f t="shared" si="5"/>
        <v>-23971.096904753442</v>
      </c>
    </row>
    <row r="69" spans="5:19" ht="14">
      <c r="E69" s="58">
        <f t="shared" si="4"/>
        <v>2022</v>
      </c>
      <c r="F69" s="60">
        <v>0</v>
      </c>
      <c r="G69" s="60">
        <v>0</v>
      </c>
      <c r="H69" s="60">
        <f t="shared" si="6"/>
        <v>3000</v>
      </c>
      <c r="I69" s="60">
        <f t="shared" si="7"/>
        <v>5344.45</v>
      </c>
      <c r="J69" s="63">
        <f>+Beneficios!G24</f>
        <v>43648</v>
      </c>
      <c r="K69" s="63">
        <f>+Beneficios!H24</f>
        <v>14549.333333333334</v>
      </c>
      <c r="L69" s="60">
        <f t="shared" si="0"/>
        <v>8344.4500000000007</v>
      </c>
      <c r="M69" s="60">
        <f>Beneficios!I24</f>
        <v>21824</v>
      </c>
      <c r="N69" s="75">
        <f>1/((1+Inputs!$T$25)^O69)</f>
        <v>0.60809697039736066</v>
      </c>
      <c r="O69" s="58">
        <v>10</v>
      </c>
      <c r="P69" s="72">
        <f t="shared" si="1"/>
        <v>5074.2347646322569</v>
      </c>
      <c r="Q69" s="72">
        <f t="shared" si="2"/>
        <v>13271.108281952</v>
      </c>
      <c r="R69" s="72">
        <f t="shared" si="3"/>
        <v>8196.8735173197419</v>
      </c>
      <c r="S69" s="72">
        <f t="shared" si="5"/>
        <v>-15774.2233874337</v>
      </c>
    </row>
    <row r="70" spans="5:19" ht="14">
      <c r="E70" s="58">
        <f t="shared" si="4"/>
        <v>2023</v>
      </c>
      <c r="F70" s="60">
        <v>0</v>
      </c>
      <c r="G70" s="60">
        <v>0</v>
      </c>
      <c r="H70" s="60">
        <f t="shared" si="6"/>
        <v>3000</v>
      </c>
      <c r="I70" s="60">
        <f t="shared" si="7"/>
        <v>5344.45</v>
      </c>
      <c r="J70" s="63">
        <f>+Beneficios!G25</f>
        <v>46079</v>
      </c>
      <c r="K70" s="63">
        <f>+Beneficios!H25</f>
        <v>15359.666666666666</v>
      </c>
      <c r="L70" s="60">
        <f t="shared" si="0"/>
        <v>8344.4500000000007</v>
      </c>
      <c r="M70" s="60">
        <f>Beneficios!I25</f>
        <v>23039.5</v>
      </c>
      <c r="N70" s="75">
        <f>1/((1+Inputs!$T$25)^O70)</f>
        <v>0.57858893472631834</v>
      </c>
      <c r="O70" s="58">
        <v>11</v>
      </c>
      <c r="P70" s="72">
        <f t="shared" si="1"/>
        <v>4828.0064363770271</v>
      </c>
      <c r="Q70" s="72">
        <f t="shared" si="2"/>
        <v>13330.399761627012</v>
      </c>
      <c r="R70" s="72">
        <f t="shared" si="3"/>
        <v>8502.3933252499846</v>
      </c>
      <c r="S70" s="72">
        <f t="shared" si="5"/>
        <v>-7271.8300621837152</v>
      </c>
    </row>
    <row r="71" spans="5:19" ht="14">
      <c r="E71" s="58">
        <f t="shared" si="4"/>
        <v>2024</v>
      </c>
      <c r="F71" s="60">
        <v>0</v>
      </c>
      <c r="G71" s="60">
        <v>0</v>
      </c>
      <c r="H71" s="60">
        <f t="shared" si="6"/>
        <v>3000</v>
      </c>
      <c r="I71" s="60">
        <f t="shared" si="7"/>
        <v>5344.45</v>
      </c>
      <c r="J71" s="63">
        <f>+Beneficios!G26</f>
        <v>50930</v>
      </c>
      <c r="K71" s="63">
        <f>+Beneficios!H26</f>
        <v>16976.666666666664</v>
      </c>
      <c r="L71" s="60">
        <f t="shared" si="0"/>
        <v>8344.4500000000007</v>
      </c>
      <c r="M71" s="60">
        <f>Beneficios!I26</f>
        <v>25464.999999999996</v>
      </c>
      <c r="N71" s="75">
        <f>1/((1+Inputs!$T$25)^O71)</f>
        <v>0.55051278280334759</v>
      </c>
      <c r="O71" s="58">
        <v>12</v>
      </c>
      <c r="P71" s="72">
        <f t="shared" si="1"/>
        <v>4593.7263904633946</v>
      </c>
      <c r="Q71" s="72">
        <f t="shared" si="2"/>
        <v>14018.808014087244</v>
      </c>
      <c r="R71" s="72">
        <f t="shared" si="3"/>
        <v>9425.0816236238497</v>
      </c>
      <c r="S71" s="72">
        <f t="shared" si="5"/>
        <v>2153.2515614401345</v>
      </c>
    </row>
    <row r="72" spans="5:19" ht="14">
      <c r="E72" s="58">
        <f t="shared" si="4"/>
        <v>2025</v>
      </c>
      <c r="F72" s="60">
        <v>0</v>
      </c>
      <c r="G72" s="60">
        <v>0</v>
      </c>
      <c r="H72" s="60">
        <f t="shared" si="6"/>
        <v>3000</v>
      </c>
      <c r="I72" s="60">
        <f t="shared" si="7"/>
        <v>5344.45</v>
      </c>
      <c r="J72" s="63">
        <f>+Beneficios!G27</f>
        <v>53350</v>
      </c>
      <c r="K72" s="63">
        <f>+Beneficios!H27</f>
        <v>17783.333333333336</v>
      </c>
      <c r="L72" s="60">
        <f t="shared" si="0"/>
        <v>8344.4500000000007</v>
      </c>
      <c r="M72" s="60">
        <f>Beneficios!I27</f>
        <v>26675.000000000004</v>
      </c>
      <c r="N72" s="75">
        <f>1/((1+Inputs!$T$25)^O72)</f>
        <v>0.52379903216303303</v>
      </c>
      <c r="O72" s="58">
        <v>13</v>
      </c>
      <c r="P72" s="72">
        <f t="shared" si="1"/>
        <v>4370.8148339328218</v>
      </c>
      <c r="Q72" s="72">
        <f t="shared" si="2"/>
        <v>13972.339182948908</v>
      </c>
      <c r="R72" s="72">
        <f t="shared" si="3"/>
        <v>9601.5243490160865</v>
      </c>
      <c r="S72" s="72">
        <f t="shared" si="5"/>
        <v>11754.775910456221</v>
      </c>
    </row>
    <row r="73" spans="5:19" ht="14">
      <c r="E73" s="58">
        <f t="shared" si="4"/>
        <v>2026</v>
      </c>
      <c r="F73" s="60">
        <v>0</v>
      </c>
      <c r="G73" s="60">
        <v>0</v>
      </c>
      <c r="H73" s="60">
        <f t="shared" si="6"/>
        <v>3000</v>
      </c>
      <c r="I73" s="60">
        <f t="shared" si="7"/>
        <v>5344.45</v>
      </c>
      <c r="J73" s="63">
        <f>+Beneficios!G28</f>
        <v>55781</v>
      </c>
      <c r="K73" s="63">
        <f>+Beneficios!H28</f>
        <v>18593.666666666664</v>
      </c>
      <c r="L73" s="60">
        <f t="shared" si="0"/>
        <v>8344.4500000000007</v>
      </c>
      <c r="M73" s="60">
        <f>Beneficios!I28</f>
        <v>27890.499999999996</v>
      </c>
      <c r="N73" s="75">
        <f>1/((1+Inputs!$T$25)^O73)</f>
        <v>0.4983815719914681</v>
      </c>
      <c r="O73" s="58">
        <v>14</v>
      </c>
      <c r="P73" s="72">
        <f t="shared" si="1"/>
        <v>4158.7201084042063</v>
      </c>
      <c r="Q73" s="72">
        <f t="shared" si="2"/>
        <v>13900.111233628038</v>
      </c>
      <c r="R73" s="72">
        <f t="shared" si="3"/>
        <v>9741.3911252238322</v>
      </c>
      <c r="S73" s="72">
        <f t="shared" si="5"/>
        <v>21496.167035680053</v>
      </c>
    </row>
    <row r="74" spans="5:19" ht="14">
      <c r="E74" s="58">
        <f t="shared" si="4"/>
        <v>2027</v>
      </c>
      <c r="F74" s="60">
        <v>0</v>
      </c>
      <c r="G74" s="60">
        <v>0</v>
      </c>
      <c r="H74" s="60">
        <f t="shared" si="6"/>
        <v>3000</v>
      </c>
      <c r="I74" s="60">
        <f t="shared" si="7"/>
        <v>5344.45</v>
      </c>
      <c r="J74" s="63">
        <f>+Beneficios!G29</f>
        <v>58200.999999999993</v>
      </c>
      <c r="K74" s="63">
        <f>+Beneficios!H29</f>
        <v>19400.333333333332</v>
      </c>
      <c r="L74" s="60">
        <f t="shared" si="0"/>
        <v>8344.4500000000007</v>
      </c>
      <c r="M74" s="60">
        <f>Beneficios!I29</f>
        <v>29100.5</v>
      </c>
      <c r="N74" s="75">
        <f>1/((1+Inputs!$T$25)^O74)</f>
        <v>0.4741974995161447</v>
      </c>
      <c r="O74" s="58">
        <v>15</v>
      </c>
      <c r="P74" s="72">
        <f t="shared" si="1"/>
        <v>3956.9173248374941</v>
      </c>
      <c r="Q74" s="72">
        <f t="shared" si="2"/>
        <v>13799.384334669568</v>
      </c>
      <c r="R74" s="72">
        <f t="shared" si="3"/>
        <v>9842.4670098320748</v>
      </c>
      <c r="S74" s="72">
        <f t="shared" si="5"/>
        <v>31338.634045512128</v>
      </c>
    </row>
    <row r="75" spans="5:19" ht="14">
      <c r="E75" s="58">
        <f t="shared" si="4"/>
        <v>2028</v>
      </c>
      <c r="F75" s="60">
        <v>0</v>
      </c>
      <c r="G75" s="60">
        <v>0</v>
      </c>
      <c r="H75" s="60">
        <f t="shared" si="6"/>
        <v>3000</v>
      </c>
      <c r="I75" s="60">
        <f t="shared" si="7"/>
        <v>5344.45</v>
      </c>
      <c r="J75" s="63">
        <f>+Beneficios!G30</f>
        <v>60632</v>
      </c>
      <c r="K75" s="63">
        <f>+Beneficios!H30</f>
        <v>20210.666666666664</v>
      </c>
      <c r="L75" s="60">
        <f t="shared" si="0"/>
        <v>8344.4500000000007</v>
      </c>
      <c r="M75" s="60">
        <f>Beneficios!I30</f>
        <v>30315.999999999996</v>
      </c>
      <c r="N75" s="75">
        <f>1/((1+Inputs!$T$25)^O75)</f>
        <v>0.45118696433505684</v>
      </c>
      <c r="O75" s="58">
        <v>16</v>
      </c>
      <c r="P75" s="72">
        <f t="shared" si="1"/>
        <v>3764.9070645456654</v>
      </c>
      <c r="Q75" s="72">
        <f t="shared" si="2"/>
        <v>13678.184010781582</v>
      </c>
      <c r="R75" s="72">
        <f t="shared" si="3"/>
        <v>9913.2769462359174</v>
      </c>
      <c r="S75" s="72">
        <f t="shared" si="5"/>
        <v>41251.910991748045</v>
      </c>
    </row>
    <row r="76" spans="5:19" ht="14">
      <c r="E76" s="58">
        <f t="shared" si="4"/>
        <v>2029</v>
      </c>
      <c r="F76" s="60">
        <v>0</v>
      </c>
      <c r="G76" s="60">
        <v>0</v>
      </c>
      <c r="H76" s="60">
        <f t="shared" si="6"/>
        <v>3000</v>
      </c>
      <c r="I76" s="60">
        <f t="shared" si="7"/>
        <v>5344.45</v>
      </c>
      <c r="J76" s="63">
        <f>+Beneficios!G31</f>
        <v>67903</v>
      </c>
      <c r="K76" s="63">
        <f>+Beneficios!H31</f>
        <v>22634.333333333332</v>
      </c>
      <c r="L76" s="60">
        <f t="shared" si="0"/>
        <v>8344.4500000000007</v>
      </c>
      <c r="M76" s="60">
        <f>Beneficios!I31</f>
        <v>33951.5</v>
      </c>
      <c r="N76" s="75">
        <f>1/((1+Inputs!$T$25)^O76)</f>
        <v>0.42929302029976862</v>
      </c>
      <c r="O76" s="58">
        <v>17</v>
      </c>
      <c r="P76" s="72">
        <f t="shared" si="1"/>
        <v>3582.2141432404046</v>
      </c>
      <c r="Q76" s="72">
        <f t="shared" si="2"/>
        <v>14575.141978707594</v>
      </c>
      <c r="R76" s="72">
        <f t="shared" si="3"/>
        <v>10992.92783546719</v>
      </c>
      <c r="S76" s="72">
        <f t="shared" si="5"/>
        <v>52244.838827215237</v>
      </c>
    </row>
    <row r="77" spans="5:19" ht="14">
      <c r="E77" s="58">
        <f t="shared" si="4"/>
        <v>2030</v>
      </c>
      <c r="F77" s="60">
        <v>0</v>
      </c>
      <c r="G77" s="60">
        <v>0</v>
      </c>
      <c r="H77" s="60">
        <f t="shared" si="6"/>
        <v>3000</v>
      </c>
      <c r="I77" s="60">
        <f t="shared" si="7"/>
        <v>5344.45</v>
      </c>
      <c r="J77" s="63">
        <f>+Beneficios!G32</f>
        <v>77605</v>
      </c>
      <c r="K77" s="63">
        <f>+Beneficios!H32</f>
        <v>25868.333333333332</v>
      </c>
      <c r="L77" s="60">
        <f t="shared" si="0"/>
        <v>8344.4500000000007</v>
      </c>
      <c r="M77" s="60">
        <f>Beneficios!I32</f>
        <v>38802.5</v>
      </c>
      <c r="N77" s="75">
        <f>1/((1+Inputs!$T$25)^O77)</f>
        <v>0.40846148458588832</v>
      </c>
      <c r="O77" s="58">
        <v>18</v>
      </c>
      <c r="P77" s="72">
        <f t="shared" si="1"/>
        <v>3408.386435052716</v>
      </c>
      <c r="Q77" s="72">
        <f t="shared" si="2"/>
        <v>15849.326755643931</v>
      </c>
      <c r="R77" s="72">
        <f t="shared" si="3"/>
        <v>12440.940320591215</v>
      </c>
      <c r="S77" s="72">
        <f t="shared" si="5"/>
        <v>64685.779147806454</v>
      </c>
    </row>
    <row r="78" spans="5:19" ht="14">
      <c r="E78" s="58">
        <f t="shared" si="4"/>
        <v>2031</v>
      </c>
      <c r="F78" s="60">
        <v>0</v>
      </c>
      <c r="G78" s="60">
        <v>0</v>
      </c>
      <c r="H78" s="60">
        <f t="shared" si="6"/>
        <v>3000</v>
      </c>
      <c r="I78" s="60">
        <f t="shared" si="7"/>
        <v>5344.45</v>
      </c>
      <c r="J78" s="63">
        <f>+Beneficios!G33</f>
        <v>92158</v>
      </c>
      <c r="K78" s="63">
        <f>+Beneficios!H33</f>
        <v>30719.333333333332</v>
      </c>
      <c r="L78" s="60">
        <f t="shared" si="0"/>
        <v>8344.4500000000007</v>
      </c>
      <c r="M78" s="60">
        <f>Beneficios!I33</f>
        <v>46079</v>
      </c>
      <c r="N78" s="75">
        <f>1/((1+Inputs!$T$25)^O78)</f>
        <v>0.38864080360217734</v>
      </c>
      <c r="O78" s="58">
        <v>19</v>
      </c>
      <c r="P78" s="72">
        <f t="shared" si="1"/>
        <v>3242.9937536181892</v>
      </c>
      <c r="Q78" s="72">
        <f t="shared" si="2"/>
        <v>17908.179589184729</v>
      </c>
      <c r="R78" s="72">
        <f t="shared" si="3"/>
        <v>14665.185835566539</v>
      </c>
      <c r="S78" s="72">
        <f t="shared" si="5"/>
        <v>79350.964983372993</v>
      </c>
    </row>
    <row r="79" spans="5:19" ht="14">
      <c r="E79" s="58">
        <f t="shared" si="4"/>
        <v>2032</v>
      </c>
      <c r="F79" s="60">
        <v>0</v>
      </c>
      <c r="G79" s="60">
        <v>0</v>
      </c>
      <c r="H79" s="60">
        <f t="shared" si="6"/>
        <v>3000</v>
      </c>
      <c r="I79" s="60">
        <f t="shared" si="7"/>
        <v>5344.45</v>
      </c>
      <c r="J79" s="63">
        <f>+Beneficios!G34</f>
        <v>96998.000000000015</v>
      </c>
      <c r="K79" s="63">
        <f>+Beneficios!H34</f>
        <v>32332.666666666668</v>
      </c>
      <c r="L79" s="60">
        <f t="shared" si="0"/>
        <v>8344.4500000000007</v>
      </c>
      <c r="M79" s="60">
        <f>Beneficios!I34</f>
        <v>48499</v>
      </c>
      <c r="N79" s="75">
        <f>1/((1+Inputs!$T$25)^O79)</f>
        <v>0.36978192540644844</v>
      </c>
      <c r="O79" s="58">
        <v>20</v>
      </c>
      <c r="P79" s="72">
        <f t="shared" si="1"/>
        <v>3085.6267874578389</v>
      </c>
      <c r="Q79" s="72">
        <f t="shared" si="2"/>
        <v>17934.053600287341</v>
      </c>
      <c r="R79" s="72">
        <f t="shared" si="3"/>
        <v>14848.426812829503</v>
      </c>
      <c r="S79" s="72">
        <f t="shared" si="5"/>
        <v>94199.391796202501</v>
      </c>
    </row>
    <row r="80" spans="5:19" ht="14">
      <c r="E80" s="58">
        <f t="shared" si="4"/>
        <v>2033</v>
      </c>
      <c r="F80" s="60">
        <v>0</v>
      </c>
      <c r="G80" s="60">
        <v>0</v>
      </c>
      <c r="H80" s="60">
        <f t="shared" si="6"/>
        <v>3000</v>
      </c>
      <c r="I80" s="60">
        <f t="shared" si="7"/>
        <v>5344.45</v>
      </c>
      <c r="J80" s="63">
        <f>+Beneficios!G35</f>
        <v>106700</v>
      </c>
      <c r="K80" s="63">
        <f>+Beneficios!H35</f>
        <v>35566.666666666672</v>
      </c>
      <c r="L80" s="60">
        <f t="shared" si="0"/>
        <v>8344.4500000000007</v>
      </c>
      <c r="M80" s="60">
        <f>Beneficios!I35</f>
        <v>53350.000000000007</v>
      </c>
      <c r="N80" s="75">
        <f>1/((1+Inputs!$T$25)^O80)</f>
        <v>0.35183817831251041</v>
      </c>
      <c r="O80" s="58">
        <v>21</v>
      </c>
      <c r="P80" s="72">
        <f t="shared" si="1"/>
        <v>2935.8960870198275</v>
      </c>
      <c r="Q80" s="72">
        <f t="shared" si="2"/>
        <v>18770.566812972433</v>
      </c>
      <c r="R80" s="72">
        <f t="shared" si="3"/>
        <v>15834.670725952605</v>
      </c>
      <c r="S80" s="72">
        <f t="shared" si="5"/>
        <v>110034.0625221551</v>
      </c>
    </row>
    <row r="81" spans="5:19" ht="14">
      <c r="E81" s="58">
        <f t="shared" si="4"/>
        <v>2034</v>
      </c>
      <c r="F81" s="60">
        <v>0</v>
      </c>
      <c r="G81" s="60">
        <v>0</v>
      </c>
      <c r="H81" s="60">
        <f t="shared" si="6"/>
        <v>3000</v>
      </c>
      <c r="I81" s="60">
        <f t="shared" si="7"/>
        <v>5344.45</v>
      </c>
      <c r="J81" s="63">
        <f>+Beneficios!G36</f>
        <v>116401.99999999999</v>
      </c>
      <c r="K81" s="63">
        <f>+Beneficios!H36</f>
        <v>38800.666666666664</v>
      </c>
      <c r="L81" s="60">
        <f t="shared" si="0"/>
        <v>8344.4500000000007</v>
      </c>
      <c r="M81" s="60">
        <f>Beneficios!I36</f>
        <v>58201</v>
      </c>
      <c r="N81" s="75">
        <f>1/((1+Inputs!$T$25)^O81)</f>
        <v>0.33476515538773588</v>
      </c>
      <c r="O81" s="58">
        <v>22</v>
      </c>
      <c r="P81" s="72">
        <f t="shared" si="1"/>
        <v>2793.4311008751929</v>
      </c>
      <c r="Q81" s="72">
        <f t="shared" si="2"/>
        <v>19483.666808721617</v>
      </c>
      <c r="R81" s="72">
        <f t="shared" si="3"/>
        <v>16690.235707846423</v>
      </c>
      <c r="S81" s="72">
        <f t="shared" si="5"/>
        <v>126724.29823000153</v>
      </c>
    </row>
    <row r="82" spans="5:19" ht="14">
      <c r="E82" s="58">
        <f t="shared" si="4"/>
        <v>2035</v>
      </c>
      <c r="F82" s="60">
        <v>0</v>
      </c>
      <c r="G82" s="60">
        <v>0</v>
      </c>
      <c r="H82" s="60">
        <f t="shared" si="6"/>
        <v>3000</v>
      </c>
      <c r="I82" s="60">
        <f t="shared" si="7"/>
        <v>5344.45</v>
      </c>
      <c r="J82" s="63">
        <f>+Beneficios!G37</f>
        <v>121253</v>
      </c>
      <c r="K82" s="63">
        <f>+Beneficios!H37</f>
        <v>40417.666666666664</v>
      </c>
      <c r="L82" s="60">
        <f t="shared" si="0"/>
        <v>8344.4500000000007</v>
      </c>
      <c r="M82" s="60">
        <f>Beneficios!I37</f>
        <v>60626.5</v>
      </c>
      <c r="N82" s="75">
        <f>1/((1+Inputs!$T$25)^O82)</f>
        <v>0.31852060455540998</v>
      </c>
      <c r="O82" s="58">
        <v>23</v>
      </c>
      <c r="P82" s="72">
        <f t="shared" si="1"/>
        <v>2657.8792586823911</v>
      </c>
      <c r="Q82" s="72">
        <f t="shared" si="2"/>
        <v>19310.789432078564</v>
      </c>
      <c r="R82" s="72">
        <f t="shared" si="3"/>
        <v>16652.910173396172</v>
      </c>
      <c r="S82" s="72">
        <f t="shared" si="5"/>
        <v>143377.2084033977</v>
      </c>
    </row>
    <row r="83" spans="5:19" ht="14">
      <c r="E83" s="58">
        <f t="shared" si="4"/>
        <v>2036</v>
      </c>
      <c r="F83" s="60">
        <v>0</v>
      </c>
      <c r="G83" s="60">
        <v>0</v>
      </c>
      <c r="H83" s="60">
        <f t="shared" si="6"/>
        <v>3000</v>
      </c>
      <c r="I83" s="60">
        <f t="shared" si="7"/>
        <v>5344.45</v>
      </c>
      <c r="J83" s="63">
        <f>+Beneficios!G38</f>
        <v>133375</v>
      </c>
      <c r="K83" s="63">
        <f>+Beneficios!H38</f>
        <v>44458.333333333328</v>
      </c>
      <c r="L83" s="60">
        <f t="shared" si="0"/>
        <v>8344.4500000000007</v>
      </c>
      <c r="M83" s="60">
        <f>Beneficios!I38</f>
        <v>66687.5</v>
      </c>
      <c r="N83" s="75">
        <f>1/((1+Inputs!$T$25)^O83)</f>
        <v>0.30306432402988581</v>
      </c>
      <c r="O83" s="58">
        <v>24</v>
      </c>
      <c r="P83" s="72">
        <f t="shared" si="1"/>
        <v>2528.9050986511811</v>
      </c>
      <c r="Q83" s="72">
        <f t="shared" si="2"/>
        <v>20210.602108743009</v>
      </c>
      <c r="R83" s="72">
        <f t="shared" si="3"/>
        <v>17681.697010091826</v>
      </c>
      <c r="S83" s="72">
        <f t="shared" si="5"/>
        <v>161058.90541348953</v>
      </c>
    </row>
    <row r="84" spans="5:19" ht="14">
      <c r="E84" s="58">
        <f t="shared" si="4"/>
        <v>2037</v>
      </c>
      <c r="F84" s="60">
        <v>0</v>
      </c>
      <c r="G84" s="60">
        <v>0</v>
      </c>
      <c r="H84" s="60">
        <f t="shared" si="6"/>
        <v>3000</v>
      </c>
      <c r="I84" s="60">
        <f t="shared" si="7"/>
        <v>5344.45</v>
      </c>
      <c r="J84" s="63">
        <f>+Beneficios!G39</f>
        <v>145508</v>
      </c>
      <c r="K84" s="63">
        <f>+Beneficios!H39</f>
        <v>48502.666666666664</v>
      </c>
      <c r="L84" s="60">
        <f t="shared" si="0"/>
        <v>8344.4500000000007</v>
      </c>
      <c r="M84" s="60">
        <f>Beneficios!I39</f>
        <v>72754</v>
      </c>
      <c r="N84" s="75">
        <f>1/((1+Inputs!$T$25)^O84)</f>
        <v>0.28835806282577142</v>
      </c>
      <c r="O84" s="58">
        <v>25</v>
      </c>
      <c r="P84" s="72">
        <f t="shared" si="1"/>
        <v>2406.1894373465084</v>
      </c>
      <c r="Q84" s="72">
        <f t="shared" si="2"/>
        <v>20979.202502826174</v>
      </c>
      <c r="R84" s="72">
        <f t="shared" si="3"/>
        <v>18573.013065479667</v>
      </c>
      <c r="S84" s="72">
        <f t="shared" si="5"/>
        <v>179631.91847896919</v>
      </c>
    </row>
    <row r="85" spans="5:19" ht="14">
      <c r="E85" s="58">
        <f t="shared" si="4"/>
        <v>2038</v>
      </c>
      <c r="F85" s="60">
        <v>0</v>
      </c>
      <c r="G85" s="60">
        <v>0</v>
      </c>
      <c r="H85" s="60">
        <f t="shared" si="6"/>
        <v>3000</v>
      </c>
      <c r="I85" s="60">
        <f t="shared" si="7"/>
        <v>5344.45</v>
      </c>
      <c r="J85" s="63">
        <f>+Beneficios!G40</f>
        <v>152778.99999999997</v>
      </c>
      <c r="K85" s="63">
        <f>+Beneficios!H40</f>
        <v>50926.333333333328</v>
      </c>
      <c r="L85" s="60">
        <f t="shared" si="0"/>
        <v>8344.4500000000007</v>
      </c>
      <c r="M85" s="60">
        <f>Beneficios!I40</f>
        <v>76389.5</v>
      </c>
      <c r="N85" s="75">
        <f>1/((1+Inputs!$T$25)^O85)</f>
        <v>0.27436542609493003</v>
      </c>
      <c r="O85" s="58">
        <v>26</v>
      </c>
      <c r="P85" s="72">
        <f t="shared" si="1"/>
        <v>2289.4285797778389</v>
      </c>
      <c r="Q85" s="72">
        <f t="shared" si="2"/>
        <v>20958.637716678659</v>
      </c>
      <c r="R85" s="72">
        <f t="shared" si="3"/>
        <v>18669.209136900819</v>
      </c>
      <c r="S85" s="72">
        <f t="shared" si="5"/>
        <v>198301.12761587001</v>
      </c>
    </row>
    <row r="86" spans="5:19" ht="14">
      <c r="E86" s="58">
        <f t="shared" si="4"/>
        <v>2039</v>
      </c>
      <c r="F86" s="60">
        <v>0</v>
      </c>
      <c r="G86" s="60">
        <v>0</v>
      </c>
      <c r="H86" s="60">
        <f t="shared" si="6"/>
        <v>3000</v>
      </c>
      <c r="I86" s="60">
        <f t="shared" si="7"/>
        <v>5344.45</v>
      </c>
      <c r="J86" s="63">
        <f>+Beneficios!G41</f>
        <v>157630</v>
      </c>
      <c r="K86" s="63">
        <f>+Beneficios!H41</f>
        <v>52543.333333333343</v>
      </c>
      <c r="L86" s="60">
        <f t="shared" si="0"/>
        <v>8344.4500000000007</v>
      </c>
      <c r="M86" s="60">
        <f>Beneficios!I41</f>
        <v>78815.000000000015</v>
      </c>
      <c r="N86" s="75">
        <f>1/((1+Inputs!$T$25)^O86)</f>
        <v>0.26105178505702192</v>
      </c>
      <c r="O86" s="58">
        <v>27</v>
      </c>
      <c r="P86" s="72">
        <f t="shared" si="1"/>
        <v>2178.333567819067</v>
      </c>
      <c r="Q86" s="72">
        <f t="shared" si="2"/>
        <v>20574.796439269187</v>
      </c>
      <c r="R86" s="72">
        <f t="shared" si="3"/>
        <v>18396.46287145012</v>
      </c>
      <c r="S86" s="72">
        <f t="shared" si="5"/>
        <v>216697.59048732012</v>
      </c>
    </row>
    <row r="87" spans="5:19" ht="14">
      <c r="E87" s="58">
        <f t="shared" si="4"/>
        <v>2040</v>
      </c>
      <c r="F87" s="60">
        <v>0</v>
      </c>
      <c r="G87" s="60">
        <v>0</v>
      </c>
      <c r="H87" s="60">
        <f t="shared" si="6"/>
        <v>3000</v>
      </c>
      <c r="I87" s="60">
        <f t="shared" si="7"/>
        <v>5344.45</v>
      </c>
      <c r="J87" s="63">
        <f>+Beneficios!G42</f>
        <v>169752</v>
      </c>
      <c r="K87" s="63">
        <f>+Beneficios!H42</f>
        <v>56584</v>
      </c>
      <c r="L87" s="60">
        <f t="shared" si="0"/>
        <v>8344.4500000000007</v>
      </c>
      <c r="M87" s="60">
        <f>Beneficios!I42</f>
        <v>84876</v>
      </c>
      <c r="N87" s="75">
        <f>1/((1+Inputs!$T$25)^O87)</f>
        <v>0.24838419130068687</v>
      </c>
      <c r="O87" s="58">
        <v>28</v>
      </c>
      <c r="P87" s="72">
        <f t="shared" si="1"/>
        <v>2072.6294650990167</v>
      </c>
      <c r="Q87" s="72">
        <f t="shared" si="2"/>
        <v>21081.856620837098</v>
      </c>
      <c r="R87" s="72">
        <f t="shared" si="3"/>
        <v>19009.227155738081</v>
      </c>
      <c r="S87" s="72">
        <f t="shared" si="5"/>
        <v>235706.8176430582</v>
      </c>
    </row>
    <row r="88" spans="5:19" ht="14">
      <c r="E88" s="58">
        <f>E87+1</f>
        <v>2041</v>
      </c>
      <c r="F88" s="60">
        <v>0</v>
      </c>
      <c r="G88" s="60">
        <v>0</v>
      </c>
      <c r="H88" s="60">
        <f t="shared" si="6"/>
        <v>3000</v>
      </c>
      <c r="I88" s="60">
        <f t="shared" si="7"/>
        <v>5344.45</v>
      </c>
      <c r="J88" s="63">
        <f>+Beneficios!G43</f>
        <v>181885</v>
      </c>
      <c r="K88" s="63">
        <f>+Beneficios!H43</f>
        <v>60628.333333333336</v>
      </c>
      <c r="L88" s="60">
        <f t="shared" si="0"/>
        <v>8344.4500000000007</v>
      </c>
      <c r="M88" s="60">
        <f>Beneficios!I43</f>
        <v>90942.5</v>
      </c>
      <c r="N88" s="75">
        <f>1/((1+Inputs!$T$25)^O88)</f>
        <v>0.23633129524327967</v>
      </c>
      <c r="O88" s="58">
        <v>29</v>
      </c>
      <c r="P88" s="72">
        <f t="shared" si="1"/>
        <v>1972.0546765927852</v>
      </c>
      <c r="Q88" s="72">
        <f t="shared" si="2"/>
        <v>21492.55881766196</v>
      </c>
      <c r="R88" s="72">
        <f t="shared" si="3"/>
        <v>19520.504141069174</v>
      </c>
      <c r="S88" s="72">
        <f t="shared" si="5"/>
        <v>255227.32178412736</v>
      </c>
    </row>
    <row r="89" spans="5:19" ht="15" thickBot="1">
      <c r="E89" s="58">
        <f t="shared" si="4"/>
        <v>2042</v>
      </c>
      <c r="F89" s="60">
        <v>0</v>
      </c>
      <c r="G89" s="60">
        <v>0</v>
      </c>
      <c r="H89" s="60">
        <f>+H88</f>
        <v>3000</v>
      </c>
      <c r="I89" s="60">
        <f t="shared" si="7"/>
        <v>5344.45</v>
      </c>
      <c r="J89" s="63">
        <f>+Beneficios!G44</f>
        <v>181885</v>
      </c>
      <c r="K89" s="63">
        <f>+Beneficios!H44</f>
        <v>60628.333333333336</v>
      </c>
      <c r="L89" s="60">
        <f t="shared" ref="L89" si="8">G89+H89+I89</f>
        <v>8344.4500000000007</v>
      </c>
      <c r="M89" s="60">
        <f>Beneficios!I44</f>
        <v>90942.5</v>
      </c>
      <c r="N89" s="76">
        <f>1/((1+Inputs!$T$25)^O89)</f>
        <v>0.22486326854736408</v>
      </c>
      <c r="O89" s="74">
        <v>30</v>
      </c>
      <c r="P89" s="73">
        <f t="shared" si="1"/>
        <v>1876.3603012300523</v>
      </c>
      <c r="Q89" s="73">
        <f>M89*N89</f>
        <v>20449.627799868656</v>
      </c>
      <c r="R89" s="73">
        <f t="shared" si="3"/>
        <v>18573.267498638605</v>
      </c>
      <c r="S89" s="73">
        <f t="shared" si="5"/>
        <v>273800.58928276598</v>
      </c>
    </row>
    <row r="90" spans="5:19" ht="14">
      <c r="F90" s="60">
        <f t="shared" ref="F90:L90" si="9">SUM(F59:F89)</f>
        <v>1703.07</v>
      </c>
      <c r="G90" s="60">
        <f t="shared" si="9"/>
        <v>19200</v>
      </c>
      <c r="H90" s="60">
        <f t="shared" si="9"/>
        <v>90000</v>
      </c>
      <c r="I90" s="60">
        <f t="shared" si="9"/>
        <v>149644.6</v>
      </c>
      <c r="J90" s="63">
        <f t="shared" si="9"/>
        <v>2300199</v>
      </c>
      <c r="K90" s="63">
        <f t="shared" si="9"/>
        <v>766733.00000000023</v>
      </c>
      <c r="L90" s="60">
        <f t="shared" si="9"/>
        <v>258844.60000000015</v>
      </c>
      <c r="M90" s="60">
        <f>SUM(M59:M89)</f>
        <v>1150099.5</v>
      </c>
      <c r="P90" s="60">
        <f t="shared" ref="P90:R90" si="10">SUM(P59:P89)</f>
        <v>136101.8253951903</v>
      </c>
      <c r="Q90" s="60">
        <f t="shared" si="10"/>
        <v>409902.41467795632</v>
      </c>
      <c r="R90" s="60">
        <f t="shared" si="10"/>
        <v>273800.58928276598</v>
      </c>
    </row>
  </sheetData>
  <mergeCells count="4">
    <mergeCell ref="L57:M57"/>
    <mergeCell ref="P57:Q57"/>
    <mergeCell ref="J57:K57"/>
    <mergeCell ref="E19:I20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Inicio</vt:lpstr>
      <vt:lpstr>Inputs</vt:lpstr>
      <vt:lpstr>Costos</vt:lpstr>
      <vt:lpstr>Beneficios</vt:lpstr>
      <vt:lpstr>Resultados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ÁnGeLo</dc:creator>
  <cp:lastModifiedBy>Erika Vohman</cp:lastModifiedBy>
  <dcterms:created xsi:type="dcterms:W3CDTF">2012-01-29T01:40:16Z</dcterms:created>
  <dcterms:modified xsi:type="dcterms:W3CDTF">2015-04-20T23:09:49Z</dcterms:modified>
</cp:coreProperties>
</file>